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<sst xmlns="http://schemas.openxmlformats.org/spreadsheetml/2006/main" uniqueCount="617">
  <si>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</si>
  <si>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</si>
  <si>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</si>
  <si>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</si>
  <si>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</si>
  <si>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</si>
  <si>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</si>
  <si>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</si>
  <si>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</si>
  <si>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</si>
  <si>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</si>
  <si>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</si>
  <si>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</si>
  <si>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</si>
  <si>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</si>
  <si>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</si>
  <si>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</si>
  <si>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</si>
  <si>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</si>
  <si>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</si>
  <si>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</si>
  <si>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</si>
  <si>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</si>
  <si>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</si>
  <si>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</si>
  <si>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</si>
  <si>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</si>
  <si>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</si>
  <si>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</si>
  <si>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</si>
  <si>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</si>
  <si>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</si>
  <si>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</si>
  <si>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</si>
  <si>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</si>
  <si>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</si>
  <si>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</si>
  <si>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</si>
  <si>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</si>
  <si>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</si>
  <si>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</si>
  <si>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</si>
  <si>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</si>
  <si>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</si>
  <si>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</si>
  <si>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</si>
  <si>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</si>
  <si>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</si>
  <si>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</si>
  <si>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</si>
  <si>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</si>
  <si>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</si>
  <si>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</si>
  <si>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</si>
  <si>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</si>
  <si>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</si>
  <si>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</si>
  <si>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</si>
  <si>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</si>
  <si>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</si>
  <si>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</si>
  <si>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</si>
  <si>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</si>
  <si>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</si>
  <si>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</si>
  <si>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</si>
  <si>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</si>
  <si>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</si>
  <si>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</si>
  <si>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</si>
  <si>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</si>
  <si>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</si>
  <si>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</si>
  <si>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</si>
  <si>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</si>
  <si>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</si>
  <si>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</si>
  <si>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</si>
  <si>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</si>
  <si>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</si>
  <si>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</si>
  <si>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</si>
  <si>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</si>
  <si>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</si>
  <si>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</si>
  <si>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</si>
  <si>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</si>
  <si>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</si>
  <si>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</si>
  <si>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</si>
  <si>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</si>
  <si>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</si>
  <si>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</si>
  <si>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</si>
  <si>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</si>
  <si>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</si>
  <si>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</si>
  <si>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</si>
  <si>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</si>
  <si>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</si>
  <si>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</si>
  <si>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</si>
  <si>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</si>
  <si>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</si>
  <si>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</si>
  <si>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</si>
  <si>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</si>
  <si>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</si>
  <si>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</si>
  <si>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</si>
  <si>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</si>
  <si>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</si>
  <si>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</si>
  <si>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</si>
  <si>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</si>
  <si>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</si>
  <si>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</si>
  <si>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</si>
  <si>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</si>
  <si>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</si>
  <si>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</si>
  <si>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</si>
  <si>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</si>
  <si>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</si>
  <si>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</si>
  <si>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</si>
  <si>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</si>
  <si>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</si>
  <si>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</si>
  <si>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</si>
  <si>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</si>
  <si>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</si>
  <si>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</si>
  <si>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</si>
  <si>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</si>
  <si>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</si>
  <si>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</si>
  <si>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</si>
  <si>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</si>
  <si>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</si>
  <si>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</si>
  <si>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</si>
  <si>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</si>
  <si>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</si>
  <si>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</si>
  <si>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</si>
  <si>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</si>
  <si>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</si>
  <si>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</si>
  <si>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</si>
  <si>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</si>
  <si>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</si>
  <si>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</si>
  <si>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</si>
  <si>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</si>
  <si>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</si>
  <si>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</si>
  <si>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</si>
  <si>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</si>
  <si>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</si>
  <si>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</si>
  <si>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</si>
  <si>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</si>
  <si>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</si>
  <si>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</si>
  <si>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</si>
  <si>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</si>
  <si>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</si>
  <si>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</si>
  <si>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</si>
  <si>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</si>
  <si>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</si>
  <si>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</si>
  <si>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</si>
  <si>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</si>
  <si>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</si>
  <si>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</si>
  <si>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</si>
  <si>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</si>
  <si>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</si>
  <si>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</si>
  <si>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</si>
  <si>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</si>
  <si>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</si>
  <si>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</si>
  <si>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</si>
  <si>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</si>
  <si>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</si>
  <si>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</si>
  <si>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</si>
  <si>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</si>
  <si>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</si>
  <si>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</si>
  <si>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</si>
  <si>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</si>
  <si>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</si>
  <si>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</si>
  <si>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</si>
  <si>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</si>
  <si>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</si>
  <si>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</si>
  <si>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</si>
  <si>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</si>
  <si>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</si>
  <si>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</si>
  <si>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</si>
  <si>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</si>
  <si>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</si>
  <si>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</si>
  <si>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</si>
  <si>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</si>
  <si>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</si>
  <si>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</si>
  <si>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</si>
  <si>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</si>
  <si>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</si>
  <si>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</si>
  <si>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</si>
  <si>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</si>
  <si>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</si>
  <si>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</si>
  <si>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</si>
  <si>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</si>
  <si>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</si>
  <si>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</si>
  <si>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</si>
  <si>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</si>
  <si>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</si>
  <si>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</si>
  <si>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</si>
  <si>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</si>
  <si>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</si>
  <si>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</si>
  <si>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</si>
  <si>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</si>
  <si>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</si>
  <si>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</si>
  <si>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</si>
  <si>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</si>
  <si>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</si>
  <si>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</si>
  <si>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</si>
  <si>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</si>
  <si>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</si>
  <si>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</si>
  <si>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</si>
  <si>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</si>
  <si>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</si>
  <si>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</si>
  <si>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</si>
  <si>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</si>
  <si>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</si>
  <si>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</si>
  <si>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</si>
  <si>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</si>
  <si>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</si>
  <si>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</si>
  <si>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</si>
  <si>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</si>
  <si>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</si>
  <si>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</si>
  <si>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</si>
  <si>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</si>
  <si>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</si>
  <si>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</si>
  <si>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</si>
  <si>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</si>
  <si>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</si>
  <si>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</si>
  <si>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</si>
  <si>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</si>
  <si>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</si>
  <si>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</si>
  <si>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</si>
  <si>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</si>
  <si>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</si>
  <si>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</si>
  <si>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</si>
  <si>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</si>
  <si>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</si>
  <si>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</si>
  <si>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</si>
  <si>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</si>
  <si>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</si>
  <si>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</si>
  <si>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</si>
  <si>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</si>
  <si>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</si>
  <si>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</si>
  <si>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</si>
  <si>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</si>
  <si>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</si>
  <si>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</si>
  <si>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</si>
  <si>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</si>
  <si>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</si>
  <si>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</si>
  <si>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</si>
  <si>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</si>
  <si>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</si>
  <si>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</si>
  <si>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</si>
  <si>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</si>
  <si>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</si>
  <si>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</si>
  <si>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</si>
  <si>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</si>
  <si>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</si>
  <si>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</si>
  <si>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</si>
  <si>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</si>
  <si>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</si>
  <si>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</si>
  <si>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</si>
  <si>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</si>
  <si>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</si>
  <si>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</si>
  <si>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</si>
  <si>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</si>
  <si>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</si>
  <si>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</si>
  <si>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</si>
  <si>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</si>
  <si>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</si>
  <si>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</si>
  <si>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</si>
  <si>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</si>
  <si>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</si>
  <si>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</si>
  <si>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</si>
  <si>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</si>
  <si>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Cognitive items: Mathematics results for male students</t>
  </si>
  <si>
    <t>CM033Q01S: A View Room - Q01 (Scored Response)</t>
  </si>
  <si>
    <t>N</t>
  </si>
  <si>
    <t>System</t>
  </si>
  <si>
    <t>No credit</t>
  </si>
  <si>
    <t>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</si>
  <si>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</si>
  <si>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</si>
  <si>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</si>
  <si>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</si>
  <si>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</si>
  <si>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</si>
  <si>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</si>
  <si>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</si>
  <si>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</si>
  <si>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</si>
  <si>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</si>
  <si>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</si>
  <si>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</si>
  <si>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</si>
  <si>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</si>
  <si>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</si>
  <si>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</si>
  <si>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</si>
  <si>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</si>
  <si>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</si>
  <si>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</si>
  <si>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</si>
  <si>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</si>
  <si>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</si>
  <si>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</si>
  <si>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</si>
  <si>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</si>
  <si>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</si>
  <si>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</si>
  <si>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</si>
  <si>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</si>
  <si>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</si>
  <si>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</si>
  <si>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</si>
  <si>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</si>
  <si>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</si>
  <si>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</si>
  <si>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</si>
  <si>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</si>
  <si>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</si>
  <si>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</si>
  <si>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</si>
  <si>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</si>
  <si>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</si>
  <si>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</si>
  <si>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</si>
  <si>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</si>
  <si>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</si>
  <si>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</si>
  <si>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</si>
  <si>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</si>
  <si>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</si>
  <si>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</si>
  <si>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</si>
  <si>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</si>
  <si>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</si>
  <si>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</si>
  <si>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</si>
  <si>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</si>
  <si>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</si>
  <si>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</si>
  <si>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</si>
  <si>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</si>
  <si>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</si>
  <si>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</si>
  <si>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</si>
  <si>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</si>
  <si>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</si>
  <si>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</si>
  <si>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</si>
  <si>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</si>
  <si>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</si>
  <si>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</si>
  <si>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</si>
  <si>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</si>
  <si>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</si>
  <si>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</si>
  <si>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</si>
  <si>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</si>
  <si>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</si>
  <si>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</si>
  <si>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</si>
  <si>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</si>
  <si>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</si>
  <si>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</si>
  <si>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</si>
  <si>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</si>
  <si>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</si>
  <si>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</si>
  <si>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</si>
  <si>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</si>
  <si>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</si>
  <si>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</si>
  <si>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</si>
  <si>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</si>
  <si>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</si>
  <si>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</si>
  <si>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</si>
  <si>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</si>
  <si>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</si>
  <si>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</si>
  <si>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</si>
  <si>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</si>
  <si>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</si>
  <si>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</si>
  <si>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</si>
  <si>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</si>
  <si>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</si>
  <si>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</si>
  <si>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</si>
  <si>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</si>
  <si>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</si>
  <si>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</si>
  <si>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</si>
  <si>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</si>
  <si>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</si>
  <si>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</si>
  <si>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</si>
  <si>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</si>
  <si>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</si>
  <si>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</si>
  <si>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</si>
  <si>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</si>
  <si>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</si>
  <si>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</si>
  <si>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</si>
  <si>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</si>
  <si>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0 - No credit</t>
  </si>
  <si>
    <t>1 - Full credit</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</si>
  <si>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</si>
  <si>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</si>
  <si>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</si>
  <si>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</si>
  <si>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</si>
  <si>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</si>
  <si>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</si>
  <si>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</si>
  <si>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</si>
  <si>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</si>
  <si>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</si>
  <si>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</si>
  <si>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</si>
  <si>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</si>
  <si>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</si>
  <si>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</si>
  <si>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</si>
  <si>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</si>
  <si>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</si>
  <si>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</si>
  <si>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</si>
  <si>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</si>
  <si>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</si>
  <si>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</si>
  <si>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</si>
  <si>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</si>
  <si>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</si>
  <si>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</si>
  <si>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</si>
  <si>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</si>
  <si>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</si>
  <si>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</si>
  <si>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</si>
  <si>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</si>
  <si>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</si>
  <si>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</si>
  <si>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</si>
  <si>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</si>
  <si>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</si>
  <si>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</si>
  <si>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Partial credit</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</si>
  <si>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</si>
  <si>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</si>
  <si>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</si>
  <si>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</si>
  <si>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</si>
  <si>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</si>
  <si>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</si>
  <si>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</si>
  <si>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</si>
  <si>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</si>
  <si>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</si>
  <si>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</si>
  <si>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</si>
  <si>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</si>
  <si>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</si>
  <si>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</si>
  <si>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</si>
  <si>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</si>
  <si>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</si>
  <si>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</si>
  <si>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</si>
  <si>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</si>
  <si>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</si>
  <si>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</si>
  <si>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</si>
  <si>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</si>
  <si>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</si>
  <si>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</si>
  <si>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</si>
  <si>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9 - No data (CBA only)</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</si>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</sst>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6" TargetMode="External" Type="http://schemas.openxmlformats.org/officeDocument/2006/relationships/hyperlink"/><Relationship Id="rId2" Target="#'CM474Q01S'!A6" TargetMode="External" Type="http://schemas.openxmlformats.org/officeDocument/2006/relationships/hyperlink"/><Relationship Id="rId3" Target="#'DM155Q02C'!A6" TargetMode="External" Type="http://schemas.openxmlformats.org/officeDocument/2006/relationships/hyperlink"/><Relationship Id="rId4" Target="#'CM155Q01S'!A6" TargetMode="External" Type="http://schemas.openxmlformats.org/officeDocument/2006/relationships/hyperlink"/><Relationship Id="rId5" Target="#'DM155Q03C'!A6" TargetMode="External" Type="http://schemas.openxmlformats.org/officeDocument/2006/relationships/hyperlink"/><Relationship Id="rId6" Target="#'CM155Q04S'!A6" TargetMode="External" Type="http://schemas.openxmlformats.org/officeDocument/2006/relationships/hyperlink"/><Relationship Id="rId7" Target="#'CM411Q01S'!A6" TargetMode="External" Type="http://schemas.openxmlformats.org/officeDocument/2006/relationships/hyperlink"/><Relationship Id="rId8" Target="#'CM411Q02S'!A6" TargetMode="External" Type="http://schemas.openxmlformats.org/officeDocument/2006/relationships/hyperlink"/><Relationship Id="rId9" Target="#'CM803Q01S'!A6" TargetMode="External" Type="http://schemas.openxmlformats.org/officeDocument/2006/relationships/hyperlink"/><Relationship Id="rId10" Target="#'CM442Q02S'!A6" TargetMode="External" Type="http://schemas.openxmlformats.org/officeDocument/2006/relationships/hyperlink"/><Relationship Id="rId11" Target="#'DM462Q01C'!A6" TargetMode="External" Type="http://schemas.openxmlformats.org/officeDocument/2006/relationships/hyperlink"/><Relationship Id="rId12" Target="#'CM034Q01S'!A6" TargetMode="External" Type="http://schemas.openxmlformats.org/officeDocument/2006/relationships/hyperlink"/><Relationship Id="rId13" Target="#'CM305Q01S'!A6" TargetMode="External" Type="http://schemas.openxmlformats.org/officeDocument/2006/relationships/hyperlink"/><Relationship Id="rId14" Target="#'CM496Q01S'!A6" TargetMode="External" Type="http://schemas.openxmlformats.org/officeDocument/2006/relationships/hyperlink"/><Relationship Id="rId15" Target="#'CM496Q02S'!A6" TargetMode="External" Type="http://schemas.openxmlformats.org/officeDocument/2006/relationships/hyperlink"/><Relationship Id="rId16" Target="#'CM423Q01S'!A6" TargetMode="External" Type="http://schemas.openxmlformats.org/officeDocument/2006/relationships/hyperlink"/><Relationship Id="rId17" Target="#'CM192Q01S'!A6" TargetMode="External" Type="http://schemas.openxmlformats.org/officeDocument/2006/relationships/hyperlink"/><Relationship Id="rId18" Target="#'DM406Q01C'!A6" TargetMode="External" Type="http://schemas.openxmlformats.org/officeDocument/2006/relationships/hyperlink"/><Relationship Id="rId19" Target="#'DM406Q02C'!A6" TargetMode="External" Type="http://schemas.openxmlformats.org/officeDocument/2006/relationships/hyperlink"/><Relationship Id="rId20" Target="#'CM603Q01S'!A6" TargetMode="External" Type="http://schemas.openxmlformats.org/officeDocument/2006/relationships/hyperlink"/><Relationship Id="rId21" Target="#'CM571Q01S'!A6" TargetMode="External" Type="http://schemas.openxmlformats.org/officeDocument/2006/relationships/hyperlink"/><Relationship Id="rId22" Target="#'CM564Q01S'!A6" TargetMode="External" Type="http://schemas.openxmlformats.org/officeDocument/2006/relationships/hyperlink"/><Relationship Id="rId23" Target="#'CM564Q02S'!A6" TargetMode="External" Type="http://schemas.openxmlformats.org/officeDocument/2006/relationships/hyperlink"/><Relationship Id="rId24" Target="#'CM447Q01S'!A6" TargetMode="External" Type="http://schemas.openxmlformats.org/officeDocument/2006/relationships/hyperlink"/><Relationship Id="rId25" Target="#'CM273Q01S'!A6" TargetMode="External" Type="http://schemas.openxmlformats.org/officeDocument/2006/relationships/hyperlink"/><Relationship Id="rId26" Target="#'CM408Q01S'!A6" TargetMode="External" Type="http://schemas.openxmlformats.org/officeDocument/2006/relationships/hyperlink"/><Relationship Id="rId27" Target="#'CM420Q01S'!A6" TargetMode="External" Type="http://schemas.openxmlformats.org/officeDocument/2006/relationships/hyperlink"/><Relationship Id="rId28" Target="#'CM446Q01S'!A6" TargetMode="External" Type="http://schemas.openxmlformats.org/officeDocument/2006/relationships/hyperlink"/><Relationship Id="rId29" Target="#'DM446Q02C'!A6" TargetMode="External" Type="http://schemas.openxmlformats.org/officeDocument/2006/relationships/hyperlink"/><Relationship Id="rId30" Target="#'CM559Q01S'!A6" TargetMode="External" Type="http://schemas.openxmlformats.org/officeDocument/2006/relationships/hyperlink"/><Relationship Id="rId31" Target="#'DM828Q02C'!A6" TargetMode="External" Type="http://schemas.openxmlformats.org/officeDocument/2006/relationships/hyperlink"/><Relationship Id="rId32" Target="#'CM828Q03S'!A6" TargetMode="External" Type="http://schemas.openxmlformats.org/officeDocument/2006/relationships/hyperlink"/><Relationship Id="rId33" Target="#'CM464Q01S'!A6" TargetMode="External" Type="http://schemas.openxmlformats.org/officeDocument/2006/relationships/hyperlink"/><Relationship Id="rId34" Target="#'CM800Q01S'!A6" TargetMode="External" Type="http://schemas.openxmlformats.org/officeDocument/2006/relationships/hyperlink"/><Relationship Id="rId35" Target="#'CM982Q01S'!A6" TargetMode="External" Type="http://schemas.openxmlformats.org/officeDocument/2006/relationships/hyperlink"/><Relationship Id="rId36" Target="#'CM982Q02S'!A6" TargetMode="External" Type="http://schemas.openxmlformats.org/officeDocument/2006/relationships/hyperlink"/><Relationship Id="rId37" Target="#'CM982Q03S'!A6" TargetMode="External" Type="http://schemas.openxmlformats.org/officeDocument/2006/relationships/hyperlink"/><Relationship Id="rId38" Target="#'CM982Q04S'!A6" TargetMode="External" Type="http://schemas.openxmlformats.org/officeDocument/2006/relationships/hyperlink"/><Relationship Id="rId39" Target="#'CM992Q01S'!A6" TargetMode="External" Type="http://schemas.openxmlformats.org/officeDocument/2006/relationships/hyperlink"/><Relationship Id="rId40" Target="#'CM992Q02S'!A6" TargetMode="External" Type="http://schemas.openxmlformats.org/officeDocument/2006/relationships/hyperlink"/><Relationship Id="rId41" Target="#'DM992Q03C'!A6" TargetMode="External" Type="http://schemas.openxmlformats.org/officeDocument/2006/relationships/hyperlink"/><Relationship Id="rId42" Target="#'CM915Q01S'!A6" TargetMode="External" Type="http://schemas.openxmlformats.org/officeDocument/2006/relationships/hyperlink"/><Relationship Id="rId43" Target="#'CM915Q02S'!A6" TargetMode="External" Type="http://schemas.openxmlformats.org/officeDocument/2006/relationships/hyperlink"/><Relationship Id="rId44" Target="#'CM906Q01S'!A6" TargetMode="External" Type="http://schemas.openxmlformats.org/officeDocument/2006/relationships/hyperlink"/><Relationship Id="rId45" Target="#'DM906Q02C'!A6" TargetMode="External" Type="http://schemas.openxmlformats.org/officeDocument/2006/relationships/hyperlink"/><Relationship Id="rId46" Target="#'DM00KQ02C'!A6" TargetMode="External" Type="http://schemas.openxmlformats.org/officeDocument/2006/relationships/hyperlink"/><Relationship Id="rId47" Target="#'CM909Q01S'!A6" TargetMode="External" Type="http://schemas.openxmlformats.org/officeDocument/2006/relationships/hyperlink"/><Relationship Id="rId48" Target="#'CM909Q02S'!A6" TargetMode="External" Type="http://schemas.openxmlformats.org/officeDocument/2006/relationships/hyperlink"/><Relationship Id="rId49" Target="#'CM909Q03S'!A6" TargetMode="External" Type="http://schemas.openxmlformats.org/officeDocument/2006/relationships/hyperlink"/><Relationship Id="rId50" Target="#'CM949Q01S'!A6" TargetMode="External" Type="http://schemas.openxmlformats.org/officeDocument/2006/relationships/hyperlink"/><Relationship Id="rId51" Target="#'CM949Q02S'!A6" TargetMode="External" Type="http://schemas.openxmlformats.org/officeDocument/2006/relationships/hyperlink"/><Relationship Id="rId52" Target="#'DM949Q03C'!A6" TargetMode="External" Type="http://schemas.openxmlformats.org/officeDocument/2006/relationships/hyperlink"/><Relationship Id="rId53" Target="#'CM00GQ01S'!A6" TargetMode="External" Type="http://schemas.openxmlformats.org/officeDocument/2006/relationships/hyperlink"/><Relationship Id="rId54" Target="#'DM955Q01C'!A6" TargetMode="External" Type="http://schemas.openxmlformats.org/officeDocument/2006/relationships/hyperlink"/><Relationship Id="rId55" Target="#'DM955Q02C'!A6" TargetMode="External" Type="http://schemas.openxmlformats.org/officeDocument/2006/relationships/hyperlink"/><Relationship Id="rId56" Target="#'CM955Q03S'!A6" TargetMode="External" Type="http://schemas.openxmlformats.org/officeDocument/2006/relationships/hyperlink"/><Relationship Id="rId57" Target="#'DM998Q02C'!A6" TargetMode="External" Type="http://schemas.openxmlformats.org/officeDocument/2006/relationships/hyperlink"/><Relationship Id="rId58" Target="#'CM998Q04S'!A6" TargetMode="External" Type="http://schemas.openxmlformats.org/officeDocument/2006/relationships/hyperlink"/><Relationship Id="rId59" Target="#'CM905Q01S'!A6" TargetMode="External" Type="http://schemas.openxmlformats.org/officeDocument/2006/relationships/hyperlink"/><Relationship Id="rId60" Target="#'DM905Q02C'!A6" TargetMode="External" Type="http://schemas.openxmlformats.org/officeDocument/2006/relationships/hyperlink"/><Relationship Id="rId61" Target="#'CM919Q01S'!A6" TargetMode="External" Type="http://schemas.openxmlformats.org/officeDocument/2006/relationships/hyperlink"/><Relationship Id="rId62" Target="#'CM919Q02S'!A6" TargetMode="External" Type="http://schemas.openxmlformats.org/officeDocument/2006/relationships/hyperlink"/><Relationship Id="rId63" Target="#'CM954Q01S'!A6" TargetMode="External" Type="http://schemas.openxmlformats.org/officeDocument/2006/relationships/hyperlink"/><Relationship Id="rId64" Target="#'DM954Q02C'!A6" TargetMode="External" Type="http://schemas.openxmlformats.org/officeDocument/2006/relationships/hyperlink"/><Relationship Id="rId65" Target="#'CM954Q04S'!A6" TargetMode="External" Type="http://schemas.openxmlformats.org/officeDocument/2006/relationships/hyperlink"/><Relationship Id="rId66" Target="#'CM943Q01S'!A6" TargetMode="External" Type="http://schemas.openxmlformats.org/officeDocument/2006/relationships/hyperlink"/><Relationship Id="rId67" Target="#'CM943Q02S'!A6" TargetMode="External" Type="http://schemas.openxmlformats.org/officeDocument/2006/relationships/hyperlink"/><Relationship Id="rId68" Target="#'DM953Q02C'!A6" TargetMode="External" Type="http://schemas.openxmlformats.org/officeDocument/2006/relationships/hyperlink"/><Relationship Id="rId69" Target="#'CM953Q03S'!A6" TargetMode="External" Type="http://schemas.openxmlformats.org/officeDocument/2006/relationships/hyperlink"/><Relationship Id="rId70" Target="#'DM953Q04C'!A6" TargetMode="External" Type="http://schemas.openxmlformats.org/officeDocument/2006/relationships/hyperlink"/><Relationship Id="rId71" Target="#'CM948Q01S'!A6" TargetMode="External" Type="http://schemas.openxmlformats.org/officeDocument/2006/relationships/hyperlink"/><Relationship Id="rId72" Target="#'CM948Q02S'!A6" TargetMode="External" Type="http://schemas.openxmlformats.org/officeDocument/2006/relationships/hyperlink"/><Relationship Id="rId73" Target="#'CM948Q03S'!A6" TargetMode="External" Type="http://schemas.openxmlformats.org/officeDocument/2006/relationships/hyperlink"/><Relationship Id="rId74" Target="#'CM936Q01S'!A6" TargetMode="External" Type="http://schemas.openxmlformats.org/officeDocument/2006/relationships/hyperlink"/><Relationship Id="rId75" Target="#'DM936Q02C'!A6" TargetMode="External" Type="http://schemas.openxmlformats.org/officeDocument/2006/relationships/hyperlink"/><Relationship Id="rId76" Target="#'DM961Q02C'!A6" TargetMode="External" Type="http://schemas.openxmlformats.org/officeDocument/2006/relationships/hyperlink"/><Relationship Id="rId77" Target="#'CM961Q03S'!A6" TargetMode="External" Type="http://schemas.openxmlformats.org/officeDocument/2006/relationships/hyperlink"/><Relationship Id="rId78" Target="#'DM961Q05C'!A6" TargetMode="External" Type="http://schemas.openxmlformats.org/officeDocument/2006/relationships/hyperlink"/><Relationship Id="rId79" Target="#'CM939Q01S'!A6" TargetMode="External" Type="http://schemas.openxmlformats.org/officeDocument/2006/relationships/hyperlink"/><Relationship Id="rId80" Target="#'CM939Q02S'!A6" TargetMode="External" Type="http://schemas.openxmlformats.org/officeDocument/2006/relationships/hyperlink"/><Relationship Id="rId81" Target="#'CM967Q01S'!A6" TargetMode="External" Type="http://schemas.openxmlformats.org/officeDocument/2006/relationships/hyperlink"/><Relationship Id="rId82" Target="#'CM967Q03S'!A6" TargetMode="External" Type="http://schemas.openxmlformats.org/officeDocument/2006/relationships/hyperlink"/><Relationship Id="rId83" Target="#'PM033Q01S'!A6" TargetMode="External" Type="http://schemas.openxmlformats.org/officeDocument/2006/relationships/hyperlink"/><Relationship Id="rId84" Target="#'PM474Q01'!A6" TargetMode="External" Type="http://schemas.openxmlformats.org/officeDocument/2006/relationships/hyperlink"/><Relationship Id="rId85" Target="#'PM155Q02'!A6" TargetMode="External" Type="http://schemas.openxmlformats.org/officeDocument/2006/relationships/hyperlink"/><Relationship Id="rId86" Target="#'PM155Q01'!A6" TargetMode="External" Type="http://schemas.openxmlformats.org/officeDocument/2006/relationships/hyperlink"/><Relationship Id="rId87" Target="#'PM155Q03'!A6" TargetMode="External" Type="http://schemas.openxmlformats.org/officeDocument/2006/relationships/hyperlink"/><Relationship Id="rId88" Target="#'PM155Q04S'!A6" TargetMode="External" Type="http://schemas.openxmlformats.org/officeDocument/2006/relationships/hyperlink"/><Relationship Id="rId89" Target="#'PM411Q01'!A6" TargetMode="External" Type="http://schemas.openxmlformats.org/officeDocument/2006/relationships/hyperlink"/><Relationship Id="rId90" Target="#'PM411Q02S'!A6" TargetMode="External" Type="http://schemas.openxmlformats.org/officeDocument/2006/relationships/hyperlink"/><Relationship Id="rId91" Target="#'PM803Q01S'!A6" TargetMode="External" Type="http://schemas.openxmlformats.org/officeDocument/2006/relationships/hyperlink"/><Relationship Id="rId92" Target="#'PM442Q02'!A6" TargetMode="External" Type="http://schemas.openxmlformats.org/officeDocument/2006/relationships/hyperlink"/><Relationship Id="rId93" Target="#'PM462Q01'!A6" TargetMode="External" Type="http://schemas.openxmlformats.org/officeDocument/2006/relationships/hyperlink"/><Relationship Id="rId94" Target="#'PM034Q01S'!A6" TargetMode="External" Type="http://schemas.openxmlformats.org/officeDocument/2006/relationships/hyperlink"/><Relationship Id="rId95" Target="#'PM305Q01S'!A6" TargetMode="External" Type="http://schemas.openxmlformats.org/officeDocument/2006/relationships/hyperlink"/><Relationship Id="rId96" Target="#'PM496Q01S'!A6" TargetMode="External" Type="http://schemas.openxmlformats.org/officeDocument/2006/relationships/hyperlink"/><Relationship Id="rId97" Target="#'PM496Q02'!A6" TargetMode="External" Type="http://schemas.openxmlformats.org/officeDocument/2006/relationships/hyperlink"/><Relationship Id="rId98" Target="#'PM423Q01S'!A6" TargetMode="External" Type="http://schemas.openxmlformats.org/officeDocument/2006/relationships/hyperlink"/><Relationship Id="rId99" Target="#'PM192Q01S'!A6" TargetMode="External" Type="http://schemas.openxmlformats.org/officeDocument/2006/relationships/hyperlink"/><Relationship Id="rId100" Target="#'PM406Q01'!A6" TargetMode="External" Type="http://schemas.openxmlformats.org/officeDocument/2006/relationships/hyperlink"/><Relationship Id="rId101" Target="#'PM406Q02'!A6" TargetMode="External" Type="http://schemas.openxmlformats.org/officeDocument/2006/relationships/hyperlink"/><Relationship Id="rId102" Target="#'PM603Q01S'!A6" TargetMode="External" Type="http://schemas.openxmlformats.org/officeDocument/2006/relationships/hyperlink"/><Relationship Id="rId103" Target="#'PM571Q01S'!A6" TargetMode="External" Type="http://schemas.openxmlformats.org/officeDocument/2006/relationships/hyperlink"/><Relationship Id="rId104" Target="#'PM564Q01S'!A6" TargetMode="External" Type="http://schemas.openxmlformats.org/officeDocument/2006/relationships/hyperlink"/><Relationship Id="rId105" Target="#'PM564Q02S'!A6" TargetMode="External" Type="http://schemas.openxmlformats.org/officeDocument/2006/relationships/hyperlink"/><Relationship Id="rId106" Target="#'PM447Q01S'!A6" TargetMode="External" Type="http://schemas.openxmlformats.org/officeDocument/2006/relationships/hyperlink"/><Relationship Id="rId107" Target="#'PM273Q01S'!A6" TargetMode="External" Type="http://schemas.openxmlformats.org/officeDocument/2006/relationships/hyperlink"/><Relationship Id="rId108" Target="#'PM408Q01S'!A6" TargetMode="External" Type="http://schemas.openxmlformats.org/officeDocument/2006/relationships/hyperlink"/><Relationship Id="rId109" Target="#'PM420Q01S'!A6" TargetMode="External" Type="http://schemas.openxmlformats.org/officeDocument/2006/relationships/hyperlink"/><Relationship Id="rId110" Target="#'PM446Q01'!A6" TargetMode="External" Type="http://schemas.openxmlformats.org/officeDocument/2006/relationships/hyperlink"/><Relationship Id="rId111" Target="#'PM446Q02'!A6" TargetMode="External" Type="http://schemas.openxmlformats.org/officeDocument/2006/relationships/hyperlink"/><Relationship Id="rId112" Target="#'PM559Q01S'!A6" TargetMode="External" Type="http://schemas.openxmlformats.org/officeDocument/2006/relationships/hyperlink"/><Relationship Id="rId113" Target="#'PM828Q01'!A6" TargetMode="External" Type="http://schemas.openxmlformats.org/officeDocument/2006/relationships/hyperlink"/><Relationship Id="rId114" Target="#'PM828Q02'!A6" TargetMode="External" Type="http://schemas.openxmlformats.org/officeDocument/2006/relationships/hyperlink"/><Relationship Id="rId115" Target="#'PM828Q03'!A6" TargetMode="External" Type="http://schemas.openxmlformats.org/officeDocument/2006/relationships/hyperlink"/><Relationship Id="rId116" Target="#'PM464Q01S'!A6" TargetMode="External" Type="http://schemas.openxmlformats.org/officeDocument/2006/relationships/hyperlink"/><Relationship Id="rId117" Target="#'PM800Q01S'!A6" TargetMode="External" Type="http://schemas.openxmlformats.org/officeDocument/2006/relationships/hyperlink"/><Relationship Id="rId118" Target="#'PM982Q01'!A6" TargetMode="External" Type="http://schemas.openxmlformats.org/officeDocument/2006/relationships/hyperlink"/><Relationship Id="rId119" Target="#'PM982Q02'!A6" TargetMode="External" Type="http://schemas.openxmlformats.org/officeDocument/2006/relationships/hyperlink"/><Relationship Id="rId120" Target="#'PM982Q03S'!A6" TargetMode="External" Type="http://schemas.openxmlformats.org/officeDocument/2006/relationships/hyperlink"/><Relationship Id="rId121" Target="#'PM982Q04S'!A6" TargetMode="External" Type="http://schemas.openxmlformats.org/officeDocument/2006/relationships/hyperlink"/><Relationship Id="rId122" Target="#'PM992Q01'!A6" TargetMode="External" Type="http://schemas.openxmlformats.org/officeDocument/2006/relationships/hyperlink"/><Relationship Id="rId123" Target="#'PM992Q02'!A6" TargetMode="External" Type="http://schemas.openxmlformats.org/officeDocument/2006/relationships/hyperlink"/><Relationship Id="rId124" Target="#'PM992Q03'!A6" TargetMode="External" Type="http://schemas.openxmlformats.org/officeDocument/2006/relationships/hyperlink"/><Relationship Id="rId125" Target="#'PM915Q01S'!A6" TargetMode="External" Type="http://schemas.openxmlformats.org/officeDocument/2006/relationships/hyperlink"/><Relationship Id="rId126" Target="#'PM915Q02'!A6" TargetMode="External" Type="http://schemas.openxmlformats.org/officeDocument/2006/relationships/hyperlink"/><Relationship Id="rId127" Target="#'PM906Q01S'!A6" TargetMode="External" Type="http://schemas.openxmlformats.org/officeDocument/2006/relationships/hyperlink"/><Relationship Id="rId128" Target="#'PM906Q02'!A6" TargetMode="External" Type="http://schemas.openxmlformats.org/officeDocument/2006/relationships/hyperlink"/><Relationship Id="rId129" Target="#'PM00KQ02'!A6" TargetMode="External" Type="http://schemas.openxmlformats.org/officeDocument/2006/relationships/hyperlink"/><Relationship Id="rId130" Target="#'PM909Q01'!A6" TargetMode="External" Type="http://schemas.openxmlformats.org/officeDocument/2006/relationships/hyperlink"/><Relationship Id="rId131" Target="#'PM909Q02S'!A6" TargetMode="External" Type="http://schemas.openxmlformats.org/officeDocument/2006/relationships/hyperlink"/><Relationship Id="rId132" Target="#'PM909Q03'!A6" TargetMode="External" Type="http://schemas.openxmlformats.org/officeDocument/2006/relationships/hyperlink"/><Relationship Id="rId133" Target="#'PM949Q01S'!A6" TargetMode="External" Type="http://schemas.openxmlformats.org/officeDocument/2006/relationships/hyperlink"/><Relationship Id="rId134" Target="#'PM949Q02S'!A6" TargetMode="External" Type="http://schemas.openxmlformats.org/officeDocument/2006/relationships/hyperlink"/><Relationship Id="rId135" Target="#'PM949Q03'!A6" TargetMode="External" Type="http://schemas.openxmlformats.org/officeDocument/2006/relationships/hyperlink"/><Relationship Id="rId136" Target="#'PM00GQ01'!A6" TargetMode="External" Type="http://schemas.openxmlformats.org/officeDocument/2006/relationships/hyperlink"/><Relationship Id="rId137" Target="#'PM955Q01'!A6" TargetMode="External" Type="http://schemas.openxmlformats.org/officeDocument/2006/relationships/hyperlink"/><Relationship Id="rId138" Target="#'PM955Q02'!A6" TargetMode="External" Type="http://schemas.openxmlformats.org/officeDocument/2006/relationships/hyperlink"/><Relationship Id="rId139" Target="#'PM955Q03'!A6" TargetMode="External" Type="http://schemas.openxmlformats.org/officeDocument/2006/relationships/hyperlink"/><Relationship Id="rId140" Target="#'PM998Q02'!A6" TargetMode="External" Type="http://schemas.openxmlformats.org/officeDocument/2006/relationships/hyperlink"/><Relationship Id="rId141" Target="#'PM998Q04S'!A6" TargetMode="External" Type="http://schemas.openxmlformats.org/officeDocument/2006/relationships/hyperlink"/><Relationship Id="rId142" Target="#'PM905Q01S'!A6" TargetMode="External" Type="http://schemas.openxmlformats.org/officeDocument/2006/relationships/hyperlink"/><Relationship Id="rId143" Target="#'PM905Q02'!A6" TargetMode="External" Type="http://schemas.openxmlformats.org/officeDocument/2006/relationships/hyperlink"/><Relationship Id="rId144" Target="#'PM919Q01'!A6" TargetMode="External" Type="http://schemas.openxmlformats.org/officeDocument/2006/relationships/hyperlink"/><Relationship Id="rId145" Target="#'PM919Q02'!A6" TargetMode="External" Type="http://schemas.openxmlformats.org/officeDocument/2006/relationships/hyperlink"/><Relationship Id="rId146" Target="#'PM954Q01'!A6" TargetMode="External" Type="http://schemas.openxmlformats.org/officeDocument/2006/relationships/hyperlink"/><Relationship Id="rId147" Target="#'PM954Q02'!A6" TargetMode="External" Type="http://schemas.openxmlformats.org/officeDocument/2006/relationships/hyperlink"/><Relationship Id="rId148" Target="#'PM954Q04'!A6" TargetMode="External" Type="http://schemas.openxmlformats.org/officeDocument/2006/relationships/hyperlink"/><Relationship Id="rId149" Target="#'PM943Q01S'!A6" TargetMode="External" Type="http://schemas.openxmlformats.org/officeDocument/2006/relationships/hyperlink"/><Relationship Id="rId150" Target="#'PM943Q02'!A6" TargetMode="External" Type="http://schemas.openxmlformats.org/officeDocument/2006/relationships/hyperlink"/><Relationship Id="rId151" Target="#'PM953Q02'!A6" TargetMode="External" Type="http://schemas.openxmlformats.org/officeDocument/2006/relationships/hyperlink"/><Relationship Id="rId152" Target="#'PM953Q03'!A6" TargetMode="External" Type="http://schemas.openxmlformats.org/officeDocument/2006/relationships/hyperlink"/><Relationship Id="rId153" Target="#'PM953Q04'!A6" TargetMode="External" Type="http://schemas.openxmlformats.org/officeDocument/2006/relationships/hyperlink"/><Relationship Id="rId154" Target="#'PM948Q01S'!A6" TargetMode="External" Type="http://schemas.openxmlformats.org/officeDocument/2006/relationships/hyperlink"/><Relationship Id="rId155" Target="#'PM948Q02'!A6" TargetMode="External" Type="http://schemas.openxmlformats.org/officeDocument/2006/relationships/hyperlink"/><Relationship Id="rId156" Target="#'PM948Q03'!A6" TargetMode="External" Type="http://schemas.openxmlformats.org/officeDocument/2006/relationships/hyperlink"/><Relationship Id="rId157" Target="#'PM936Q01'!A6" TargetMode="External" Type="http://schemas.openxmlformats.org/officeDocument/2006/relationships/hyperlink"/><Relationship Id="rId158" Target="#'PM936Q02'!A6" TargetMode="External" Type="http://schemas.openxmlformats.org/officeDocument/2006/relationships/hyperlink"/><Relationship Id="rId159" Target="#'PM961Q02'!A6" TargetMode="External" Type="http://schemas.openxmlformats.org/officeDocument/2006/relationships/hyperlink"/><Relationship Id="rId160" Target="#'PM961Q03S'!A6" TargetMode="External" Type="http://schemas.openxmlformats.org/officeDocument/2006/relationships/hyperlink"/><Relationship Id="rId161" Target="#'PM961Q05'!A6" TargetMode="External" Type="http://schemas.openxmlformats.org/officeDocument/2006/relationships/hyperlink"/><Relationship Id="rId162" Target="#'PM939Q01S'!A6" TargetMode="External" Type="http://schemas.openxmlformats.org/officeDocument/2006/relationships/hyperlink"/><Relationship Id="rId163" Target="#'PM939Q02S'!A6" TargetMode="External" Type="http://schemas.openxmlformats.org/officeDocument/2006/relationships/hyperlink"/><Relationship Id="rId164" Target="#'PM967Q01'!A6" TargetMode="External" Type="http://schemas.openxmlformats.org/officeDocument/2006/relationships/hyperlink"/><Relationship Id="rId165" Target="#'PM967Q03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332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(6448.0/B7*100)</f>
        <v/>
      </c>
      <c r="D7" s="19" t="n">
        <v>919</v>
      </c>
      <c r="E7" s="18" t="n">
        <v>18.52021908</v>
      </c>
      <c r="F7" s="20" t="n">
        <v>1.41009804</v>
      </c>
      <c r="G7" s="18" t="n">
        <v>79.88987591</v>
      </c>
      <c r="H7" s="20" t="n">
        <v>1.38777994</v>
      </c>
      <c r="I7" s="18" t="s">
        <v>349</v>
      </c>
      <c r="J7" s="20" t="s">
        <v>349</v>
      </c>
      <c r="K7" s="18" t="n">
        <v>0.4736261</v>
      </c>
      <c r="L7" s="20" t="n">
        <v>0.26013521</v>
      </c>
      <c r="M7" s="18" t="n">
        <v>0</v>
      </c>
      <c r="N7" s="20" t="n">
        <v>0</v>
      </c>
      <c r="O7" s="18" t="n">
        <v>0</v>
      </c>
      <c r="P7" s="20" t="n">
        <v>0</v>
      </c>
      <c r="Q7" s="18" t="n">
        <v>1.11627891</v>
      </c>
      <c r="R7" s="20" t="n">
        <v>0.44140225</v>
      </c>
    </row>
    <row r="8" spans="1:18">
      <c r="A8" s="15" t="s">
        <v>350</v>
      </c>
      <c r="B8" s="17" t="n">
        <v>3564</v>
      </c>
      <c r="C8" s="18">
        <f>(3134.0/B8*100)</f>
        <v/>
      </c>
      <c r="D8" s="19" t="n">
        <v>430</v>
      </c>
      <c r="E8" s="18" t="n">
        <v>14.84940128</v>
      </c>
      <c r="F8" s="20" t="n">
        <v>1.65413431</v>
      </c>
      <c r="G8" s="18" t="n">
        <v>84.36314355</v>
      </c>
      <c r="H8" s="20" t="n">
        <v>1.66310956</v>
      </c>
      <c r="I8" s="18" t="s">
        <v>349</v>
      </c>
      <c r="J8" s="20" t="s">
        <v>349</v>
      </c>
      <c r="K8" s="18" t="n">
        <v>0</v>
      </c>
      <c r="L8" s="20" t="n">
        <v>0</v>
      </c>
      <c r="M8" s="18" t="n">
        <v>0</v>
      </c>
      <c r="N8" s="20" t="n">
        <v>0</v>
      </c>
      <c r="O8" s="18" t="n">
        <v>0</v>
      </c>
      <c r="P8" s="20" t="n">
        <v>0</v>
      </c>
      <c r="Q8" s="18" t="n">
        <v>0.78745517</v>
      </c>
      <c r="R8" s="20" t="n">
        <v>0.45528364</v>
      </c>
    </row>
    <row r="9" spans="1:18">
      <c r="A9" s="15" t="s">
        <v>351</v>
      </c>
      <c r="B9" s="17" t="n">
        <v>4899</v>
      </c>
      <c r="C9" s="18">
        <f>(4328.0/B9*100)</f>
        <v/>
      </c>
      <c r="D9" s="19" t="n">
        <v>571</v>
      </c>
      <c r="E9" s="18" t="n">
        <v>13.47627905</v>
      </c>
      <c r="F9" s="20" t="n">
        <v>1.6004352</v>
      </c>
      <c r="G9" s="18" t="n">
        <v>85.74465365</v>
      </c>
      <c r="H9" s="20" t="n">
        <v>1.70309839</v>
      </c>
      <c r="I9" s="18" t="s">
        <v>349</v>
      </c>
      <c r="J9" s="20" t="s">
        <v>349</v>
      </c>
      <c r="K9" s="18" t="n">
        <v>0</v>
      </c>
      <c r="L9" s="20" t="n">
        <v>0</v>
      </c>
      <c r="M9" s="18" t="n">
        <v>0</v>
      </c>
      <c r="N9" s="20" t="n">
        <v>0</v>
      </c>
      <c r="O9" s="18" t="n">
        <v>0</v>
      </c>
      <c r="P9" s="20" t="n">
        <v>0</v>
      </c>
      <c r="Q9" s="18" t="n">
        <v>0.7790673</v>
      </c>
      <c r="R9" s="20" t="n">
        <v>0.45564638</v>
      </c>
    </row>
    <row r="10" spans="1:18">
      <c r="A10" s="15" t="s">
        <v>352</v>
      </c>
      <c r="B10" s="17" t="n">
        <v>10036</v>
      </c>
      <c r="C10" s="18">
        <f>(8805.0/B10*100)</f>
        <v/>
      </c>
      <c r="D10" s="19" t="n">
        <v>1231</v>
      </c>
      <c r="E10" s="18" t="n">
        <v>16.00851315</v>
      </c>
      <c r="F10" s="20" t="n">
        <v>1.70751333</v>
      </c>
      <c r="G10" s="18" t="n">
        <v>83.08549497</v>
      </c>
      <c r="H10" s="20" t="n">
        <v>1.79343595</v>
      </c>
      <c r="I10" s="18" t="s">
        <v>349</v>
      </c>
      <c r="J10" s="20" t="s">
        <v>349</v>
      </c>
      <c r="K10" s="18" t="n">
        <v>0.04700597</v>
      </c>
      <c r="L10" s="20" t="n">
        <v>0.0416637</v>
      </c>
      <c r="M10" s="18" t="n">
        <v>0</v>
      </c>
      <c r="N10" s="20" t="n">
        <v>0</v>
      </c>
      <c r="O10" s="18" t="n">
        <v>0</v>
      </c>
      <c r="P10" s="20" t="n">
        <v>0</v>
      </c>
      <c r="Q10" s="18" t="n">
        <v>0.85898591</v>
      </c>
      <c r="R10" s="20" t="n">
        <v>0.39577674</v>
      </c>
    </row>
    <row r="11" spans="1:18">
      <c r="A11" s="15" t="s">
        <v>353</v>
      </c>
      <c r="B11" s="17" t="n">
        <v>3553</v>
      </c>
      <c r="C11" s="18">
        <f>(3116.0/B11*100)</f>
        <v/>
      </c>
      <c r="D11" s="19" t="n">
        <v>437</v>
      </c>
      <c r="E11" s="18" t="n">
        <v>24.00003949</v>
      </c>
      <c r="F11" s="20" t="n">
        <v>2.47604345</v>
      </c>
      <c r="G11" s="18" t="n">
        <v>72.72449981</v>
      </c>
      <c r="H11" s="20" t="n">
        <v>2.7110539</v>
      </c>
      <c r="I11" s="18" t="s">
        <v>349</v>
      </c>
      <c r="J11" s="20" t="s">
        <v>349</v>
      </c>
      <c r="K11" s="18" t="n">
        <v>0.29701931</v>
      </c>
      <c r="L11" s="20" t="n">
        <v>0.18488251</v>
      </c>
      <c r="M11" s="18" t="n">
        <v>0</v>
      </c>
      <c r="N11" s="20" t="n">
        <v>0</v>
      </c>
      <c r="O11" s="18" t="n">
        <v>0</v>
      </c>
      <c r="P11" s="20" t="n">
        <v>0</v>
      </c>
      <c r="Q11" s="18" t="n">
        <v>2.9784414</v>
      </c>
      <c r="R11" s="20" t="n">
        <v>1.46560428</v>
      </c>
    </row>
    <row r="12" spans="1:18">
      <c r="A12" s="15" t="s">
        <v>354</v>
      </c>
      <c r="B12" s="17" t="n">
        <v>3472</v>
      </c>
      <c r="C12" s="18">
        <f>(3071.0/B12*100)</f>
        <v/>
      </c>
      <c r="D12" s="19" t="n">
        <v>401</v>
      </c>
      <c r="E12" s="18" t="n">
        <v>13.83726529</v>
      </c>
      <c r="F12" s="20" t="n">
        <v>1.80454278</v>
      </c>
      <c r="G12" s="18" t="n">
        <v>85.43360219</v>
      </c>
      <c r="H12" s="20" t="n">
        <v>1.90207311</v>
      </c>
      <c r="I12" s="18" t="s">
        <v>349</v>
      </c>
      <c r="J12" s="20" t="s">
        <v>349</v>
      </c>
      <c r="K12" s="18" t="n">
        <v>0</v>
      </c>
      <c r="L12" s="20" t="n">
        <v>0</v>
      </c>
      <c r="M12" s="18" t="n">
        <v>0</v>
      </c>
      <c r="N12" s="20" t="n">
        <v>0</v>
      </c>
      <c r="O12" s="18" t="n">
        <v>0</v>
      </c>
      <c r="P12" s="20" t="n">
        <v>0</v>
      </c>
      <c r="Q12" s="18" t="n">
        <v>0.72913252</v>
      </c>
      <c r="R12" s="20" t="n">
        <v>0.51218769</v>
      </c>
    </row>
    <row r="13" spans="1:18">
      <c r="A13" s="15" t="s">
        <v>355</v>
      </c>
      <c r="B13" s="17" t="n">
        <v>3559</v>
      </c>
      <c r="C13" s="18">
        <f>(3137.0/B13*100)</f>
        <v/>
      </c>
      <c r="D13" s="19" t="n">
        <v>422</v>
      </c>
      <c r="E13" s="18" t="n">
        <v>10.37245578</v>
      </c>
      <c r="F13" s="20" t="n">
        <v>1.74368038</v>
      </c>
      <c r="G13" s="18" t="n">
        <v>89.11039488999999</v>
      </c>
      <c r="H13" s="20" t="n">
        <v>1.76425429</v>
      </c>
      <c r="I13" s="18" t="s">
        <v>349</v>
      </c>
      <c r="J13" s="20" t="s">
        <v>349</v>
      </c>
      <c r="K13" s="18" t="n">
        <v>0.44346256</v>
      </c>
      <c r="L13" s="20" t="n">
        <v>0.3364682</v>
      </c>
      <c r="M13" s="18" t="n">
        <v>0</v>
      </c>
      <c r="N13" s="20" t="n">
        <v>0</v>
      </c>
      <c r="O13" s="18" t="n">
        <v>0</v>
      </c>
      <c r="P13" s="20" t="n">
        <v>0</v>
      </c>
      <c r="Q13" s="18" t="n">
        <v>0.07368677</v>
      </c>
      <c r="R13" s="20" t="n">
        <v>0.07465674</v>
      </c>
    </row>
    <row r="14" spans="1:18">
      <c r="A14" s="15" t="s">
        <v>356</v>
      </c>
      <c r="B14" s="17" t="n">
        <v>2799</v>
      </c>
      <c r="C14" s="18">
        <f>(2454.0/B14*100)</f>
        <v/>
      </c>
      <c r="D14" s="19" t="n">
        <v>345</v>
      </c>
      <c r="E14" s="18" t="n">
        <v>15.62791416</v>
      </c>
      <c r="F14" s="20" t="n">
        <v>1.98040044</v>
      </c>
      <c r="G14" s="18" t="n">
        <v>84.37208584</v>
      </c>
      <c r="H14" s="20" t="n">
        <v>1.98040044</v>
      </c>
      <c r="I14" s="18" t="s">
        <v>349</v>
      </c>
      <c r="J14" s="20" t="s">
        <v>349</v>
      </c>
      <c r="K14" s="18" t="n">
        <v>0</v>
      </c>
      <c r="L14" s="20" t="n">
        <v>0</v>
      </c>
      <c r="M14" s="18" t="n">
        <v>0</v>
      </c>
      <c r="N14" s="20" t="n">
        <v>0</v>
      </c>
      <c r="O14" s="18" t="n">
        <v>0</v>
      </c>
      <c r="P14" s="20" t="n">
        <v>0</v>
      </c>
      <c r="Q14" s="18" t="n">
        <v>0</v>
      </c>
      <c r="R14" s="20" t="n">
        <v>0</v>
      </c>
    </row>
    <row r="15" spans="1:18">
      <c r="A15" s="15" t="s">
        <v>357</v>
      </c>
      <c r="B15" s="17" t="n">
        <v>3019</v>
      </c>
      <c r="C15" s="18">
        <f>(2664.0/B15*100)</f>
        <v/>
      </c>
      <c r="D15" s="19" t="n">
        <v>355</v>
      </c>
      <c r="E15" s="18" t="n">
        <v>12.3996039</v>
      </c>
      <c r="F15" s="20" t="n">
        <v>1.54315809</v>
      </c>
      <c r="G15" s="18" t="n">
        <v>86.84507684</v>
      </c>
      <c r="H15" s="20" t="n">
        <v>1.56122377</v>
      </c>
      <c r="I15" s="18" t="s">
        <v>349</v>
      </c>
      <c r="J15" s="20" t="s">
        <v>349</v>
      </c>
      <c r="K15" s="18" t="n">
        <v>0</v>
      </c>
      <c r="L15" s="20" t="n">
        <v>0</v>
      </c>
      <c r="M15" s="18" t="n">
        <v>0</v>
      </c>
      <c r="N15" s="20" t="n">
        <v>0</v>
      </c>
      <c r="O15" s="18" t="n">
        <v>0</v>
      </c>
      <c r="P15" s="20" t="n">
        <v>0</v>
      </c>
      <c r="Q15" s="18" t="n">
        <v>0.75531927</v>
      </c>
      <c r="R15" s="20" t="n">
        <v>0.44701514</v>
      </c>
    </row>
    <row r="16" spans="1:18">
      <c r="A16" s="15" t="s">
        <v>358</v>
      </c>
      <c r="B16" s="17" t="n">
        <v>2997</v>
      </c>
      <c r="C16" s="18">
        <f>(2611.0/B16*100)</f>
        <v/>
      </c>
      <c r="D16" s="19" t="n">
        <v>386</v>
      </c>
      <c r="E16" s="18" t="n">
        <v>18.2376586</v>
      </c>
      <c r="F16" s="20" t="n">
        <v>2.15287423</v>
      </c>
      <c r="G16" s="18" t="n">
        <v>80.68106786</v>
      </c>
      <c r="H16" s="20" t="n">
        <v>2.19343017</v>
      </c>
      <c r="I16" s="18" t="s">
        <v>349</v>
      </c>
      <c r="J16" s="20" t="s">
        <v>349</v>
      </c>
      <c r="K16" s="18" t="n">
        <v>0</v>
      </c>
      <c r="L16" s="20" t="n">
        <v>0</v>
      </c>
      <c r="M16" s="18" t="n">
        <v>0</v>
      </c>
      <c r="N16" s="20" t="n">
        <v>0</v>
      </c>
      <c r="O16" s="18" t="n">
        <v>0</v>
      </c>
      <c r="P16" s="20" t="n">
        <v>0</v>
      </c>
      <c r="Q16" s="18" t="n">
        <v>1.08127355</v>
      </c>
      <c r="R16" s="20" t="n">
        <v>0.63721542</v>
      </c>
    </row>
    <row r="17" spans="1:18">
      <c r="A17" s="15" t="s">
        <v>359</v>
      </c>
      <c r="B17" s="17" t="n">
        <v>3307</v>
      </c>
      <c r="C17" s="18">
        <f>(2909.0/B17*100)</f>
        <v/>
      </c>
      <c r="D17" s="19" t="n">
        <v>398</v>
      </c>
      <c r="E17" s="18" t="n">
        <v>15.03168023</v>
      </c>
      <c r="F17" s="20" t="n">
        <v>1.73628335</v>
      </c>
      <c r="G17" s="18" t="n">
        <v>84.39090598</v>
      </c>
      <c r="H17" s="20" t="n">
        <v>1.74291796</v>
      </c>
      <c r="I17" s="18" t="s">
        <v>349</v>
      </c>
      <c r="J17" s="20" t="s">
        <v>349</v>
      </c>
      <c r="K17" s="18" t="n">
        <v>0</v>
      </c>
      <c r="L17" s="20" t="n">
        <v>0</v>
      </c>
      <c r="M17" s="18" t="n">
        <v>0</v>
      </c>
      <c r="N17" s="20" t="n">
        <v>0</v>
      </c>
      <c r="O17" s="18" t="n">
        <v>0</v>
      </c>
      <c r="P17" s="20" t="n">
        <v>0</v>
      </c>
      <c r="Q17" s="18" t="n">
        <v>0.57741379</v>
      </c>
      <c r="R17" s="20" t="n">
        <v>0.13689562</v>
      </c>
    </row>
    <row r="18" spans="1:18">
      <c r="A18" s="15" t="s">
        <v>360</v>
      </c>
      <c r="B18" s="17" t="n">
        <v>2826</v>
      </c>
      <c r="C18" s="18">
        <f>(2478.0/B18*100)</f>
        <v/>
      </c>
      <c r="D18" s="19" t="n">
        <v>348</v>
      </c>
      <c r="E18" s="18" t="n">
        <v>24.97601011</v>
      </c>
      <c r="F18" s="20" t="n">
        <v>2.56968315</v>
      </c>
      <c r="G18" s="18" t="n">
        <v>73.52794072</v>
      </c>
      <c r="H18" s="20" t="n">
        <v>2.64610759</v>
      </c>
      <c r="I18" s="18" t="s">
        <v>349</v>
      </c>
      <c r="J18" s="20" t="s">
        <v>349</v>
      </c>
      <c r="K18" s="18" t="n">
        <v>0</v>
      </c>
      <c r="L18" s="20" t="n">
        <v>0</v>
      </c>
      <c r="M18" s="18" t="n">
        <v>0</v>
      </c>
      <c r="N18" s="20" t="n">
        <v>0</v>
      </c>
      <c r="O18" s="18" t="n">
        <v>0</v>
      </c>
      <c r="P18" s="20" t="n">
        <v>0</v>
      </c>
      <c r="Q18" s="18" t="n">
        <v>1.49604917</v>
      </c>
      <c r="R18" s="20" t="n">
        <v>0.84105039</v>
      </c>
    </row>
    <row r="19" spans="1:18">
      <c r="A19" s="15" t="s">
        <v>361</v>
      </c>
      <c r="B19" s="17" t="n">
        <v>2808</v>
      </c>
      <c r="C19" s="18">
        <f>(2472.0/B19*100)</f>
        <v/>
      </c>
      <c r="D19" s="19" t="n">
        <v>336</v>
      </c>
      <c r="E19" s="18" t="n">
        <v>20.32038492</v>
      </c>
      <c r="F19" s="20" t="n">
        <v>2.27865759</v>
      </c>
      <c r="G19" s="18" t="n">
        <v>78.23600656000001</v>
      </c>
      <c r="H19" s="20" t="n">
        <v>2.39786923</v>
      </c>
      <c r="I19" s="18" t="s">
        <v>349</v>
      </c>
      <c r="J19" s="20" t="s">
        <v>349</v>
      </c>
      <c r="K19" s="18" t="n">
        <v>0</v>
      </c>
      <c r="L19" s="20" t="n">
        <v>0</v>
      </c>
      <c r="M19" s="18" t="n">
        <v>0</v>
      </c>
      <c r="N19" s="20" t="n">
        <v>0</v>
      </c>
      <c r="O19" s="18" t="n">
        <v>0</v>
      </c>
      <c r="P19" s="20" t="n">
        <v>0</v>
      </c>
      <c r="Q19" s="18" t="n">
        <v>1.44360851</v>
      </c>
      <c r="R19" s="20" t="n">
        <v>0.64913857</v>
      </c>
    </row>
    <row r="20" spans="1:18">
      <c r="A20" s="15" t="s">
        <v>362</v>
      </c>
      <c r="B20" s="17" t="n">
        <v>1630</v>
      </c>
      <c r="C20" s="18">
        <f>(1422.0/B20*100)</f>
        <v/>
      </c>
      <c r="D20" s="19" t="n">
        <v>208</v>
      </c>
      <c r="E20" s="18" t="n">
        <v>14.373531</v>
      </c>
      <c r="F20" s="20" t="n">
        <v>2.54856966</v>
      </c>
      <c r="G20" s="18" t="n">
        <v>84.16648198999999</v>
      </c>
      <c r="H20" s="20" t="n">
        <v>2.71627343</v>
      </c>
      <c r="I20" s="18" t="s">
        <v>349</v>
      </c>
      <c r="J20" s="20" t="s">
        <v>349</v>
      </c>
      <c r="K20" s="18" t="n">
        <v>0.47361724</v>
      </c>
      <c r="L20" s="20" t="n">
        <v>0.48567141</v>
      </c>
      <c r="M20" s="18" t="n">
        <v>0</v>
      </c>
      <c r="N20" s="20" t="n">
        <v>0</v>
      </c>
      <c r="O20" s="18" t="n">
        <v>0</v>
      </c>
      <c r="P20" s="20" t="n">
        <v>0</v>
      </c>
      <c r="Q20" s="18" t="n">
        <v>0.98636977</v>
      </c>
      <c r="R20" s="20" t="n">
        <v>0.68982104</v>
      </c>
    </row>
    <row r="21" spans="1:18">
      <c r="A21" s="15" t="s">
        <v>363</v>
      </c>
      <c r="B21" s="17" t="n">
        <v>2908</v>
      </c>
      <c r="C21" s="18">
        <f>(2436.0/B21*100)</f>
        <v/>
      </c>
      <c r="D21" s="19" t="n">
        <v>472</v>
      </c>
      <c r="E21" s="18" t="n">
        <v>20.38504803</v>
      </c>
      <c r="F21" s="20" t="n">
        <v>1.4104313</v>
      </c>
      <c r="G21" s="18" t="n">
        <v>79.17809412</v>
      </c>
      <c r="H21" s="20" t="n">
        <v>1.42953864</v>
      </c>
      <c r="I21" s="18" t="s">
        <v>349</v>
      </c>
      <c r="J21" s="20" t="s">
        <v>349</v>
      </c>
      <c r="K21" s="18" t="n">
        <v>0.16771006</v>
      </c>
      <c r="L21" s="20" t="n">
        <v>0.16855019</v>
      </c>
      <c r="M21" s="18" t="n">
        <v>0</v>
      </c>
      <c r="N21" s="20" t="n">
        <v>0</v>
      </c>
      <c r="O21" s="18" t="n">
        <v>0</v>
      </c>
      <c r="P21" s="20" t="n">
        <v>0</v>
      </c>
      <c r="Q21" s="18" t="n">
        <v>0.26914779</v>
      </c>
      <c r="R21" s="20" t="n">
        <v>0.24674801</v>
      </c>
    </row>
    <row r="22" spans="1:18">
      <c r="A22" s="15" t="s">
        <v>364</v>
      </c>
      <c r="B22" s="17" t="n">
        <v>2931</v>
      </c>
      <c r="C22" s="18">
        <f>(2573.0/B22*100)</f>
        <v/>
      </c>
      <c r="D22" s="19" t="n">
        <v>358</v>
      </c>
      <c r="E22" s="18" t="n">
        <v>30.4201526</v>
      </c>
      <c r="F22" s="20" t="n">
        <v>2.29973442</v>
      </c>
      <c r="G22" s="18" t="n">
        <v>68.63892808999999</v>
      </c>
      <c r="H22" s="20" t="n">
        <v>2.2958814</v>
      </c>
      <c r="I22" s="18" t="s">
        <v>349</v>
      </c>
      <c r="J22" s="20" t="s">
        <v>349</v>
      </c>
      <c r="K22" s="18" t="n">
        <v>0</v>
      </c>
      <c r="L22" s="20" t="n">
        <v>0</v>
      </c>
      <c r="M22" s="18" t="n">
        <v>0</v>
      </c>
      <c r="N22" s="20" t="n">
        <v>0</v>
      </c>
      <c r="O22" s="18" t="n">
        <v>0</v>
      </c>
      <c r="P22" s="20" t="n">
        <v>0</v>
      </c>
      <c r="Q22" s="18" t="n">
        <v>0.94091931</v>
      </c>
      <c r="R22" s="20" t="n">
        <v>0.41630714</v>
      </c>
    </row>
    <row r="23" spans="1:18">
      <c r="A23" s="15" t="s">
        <v>365</v>
      </c>
      <c r="B23" s="17" t="n">
        <v>5791</v>
      </c>
      <c r="C23" s="18">
        <f>(5099.0/B23*100)</f>
        <v/>
      </c>
      <c r="D23" s="19" t="n">
        <v>692</v>
      </c>
      <c r="E23" s="18" t="n">
        <v>17.76082149</v>
      </c>
      <c r="F23" s="20" t="n">
        <v>2.14318925</v>
      </c>
      <c r="G23" s="18" t="n">
        <v>81.33198077999999</v>
      </c>
      <c r="H23" s="20" t="n">
        <v>2.25363904</v>
      </c>
      <c r="I23" s="18" t="s">
        <v>349</v>
      </c>
      <c r="J23" s="20" t="s">
        <v>349</v>
      </c>
      <c r="K23" s="18" t="n">
        <v>0</v>
      </c>
      <c r="L23" s="20" t="n">
        <v>0</v>
      </c>
      <c r="M23" s="18" t="n">
        <v>0</v>
      </c>
      <c r="N23" s="20" t="n">
        <v>0</v>
      </c>
      <c r="O23" s="18" t="n">
        <v>0</v>
      </c>
      <c r="P23" s="20" t="n">
        <v>0</v>
      </c>
      <c r="Q23" s="18" t="n">
        <v>0.90719773</v>
      </c>
      <c r="R23" s="20" t="n">
        <v>0.55102527</v>
      </c>
    </row>
    <row r="24" spans="1:18">
      <c r="A24" s="15" t="s">
        <v>366</v>
      </c>
      <c r="B24" s="17" t="n">
        <v>3338</v>
      </c>
      <c r="C24" s="18">
        <f>(2932.0/B24*100)</f>
        <v/>
      </c>
      <c r="D24" s="19" t="n">
        <v>406</v>
      </c>
      <c r="E24" s="18" t="n">
        <v>11.40667456</v>
      </c>
      <c r="F24" s="20" t="n">
        <v>1.82718373</v>
      </c>
      <c r="G24" s="18" t="n">
        <v>88.33635228</v>
      </c>
      <c r="H24" s="20" t="n">
        <v>1.90450434</v>
      </c>
      <c r="I24" s="18" t="s">
        <v>349</v>
      </c>
      <c r="J24" s="20" t="s">
        <v>349</v>
      </c>
      <c r="K24" s="18" t="n">
        <v>0.25697316</v>
      </c>
      <c r="L24" s="20" t="n">
        <v>0.24767244</v>
      </c>
      <c r="M24" s="18" t="n">
        <v>0</v>
      </c>
      <c r="N24" s="20" t="n">
        <v>0</v>
      </c>
      <c r="O24" s="18" t="n">
        <v>0</v>
      </c>
      <c r="P24" s="20" t="n">
        <v>0</v>
      </c>
      <c r="Q24" s="18" t="n">
        <v>0</v>
      </c>
      <c r="R24" s="20" t="n">
        <v>0</v>
      </c>
    </row>
    <row r="25" spans="1:18">
      <c r="A25" s="15" t="s">
        <v>367</v>
      </c>
      <c r="B25" s="17" t="n">
        <v>2912</v>
      </c>
      <c r="C25" s="18">
        <f>(2547.0/B25*100)</f>
        <v/>
      </c>
      <c r="D25" s="19" t="n">
        <v>365</v>
      </c>
      <c r="E25" s="18" t="n">
        <v>22.51764572</v>
      </c>
      <c r="F25" s="20" t="n">
        <v>2.44683052</v>
      </c>
      <c r="G25" s="18" t="n">
        <v>77.48235428</v>
      </c>
      <c r="H25" s="20" t="n">
        <v>2.44683052</v>
      </c>
      <c r="I25" s="18" t="s">
        <v>349</v>
      </c>
      <c r="J25" s="20" t="s">
        <v>349</v>
      </c>
      <c r="K25" s="18" t="n">
        <v>0</v>
      </c>
      <c r="L25" s="20" t="n">
        <v>0</v>
      </c>
      <c r="M25" s="18" t="n">
        <v>0</v>
      </c>
      <c r="N25" s="20" t="n">
        <v>0</v>
      </c>
      <c r="O25" s="18" t="n">
        <v>0</v>
      </c>
      <c r="P25" s="20" t="n">
        <v>0</v>
      </c>
      <c r="Q25" s="18" t="n">
        <v>0</v>
      </c>
      <c r="R25" s="20" t="n">
        <v>0</v>
      </c>
    </row>
    <row r="26" spans="1:18">
      <c r="A26" s="15" t="s">
        <v>368</v>
      </c>
      <c r="B26" s="17" t="n">
        <v>2450</v>
      </c>
      <c r="C26" s="18">
        <f>(2161.0/B26*100)</f>
        <v/>
      </c>
      <c r="D26" s="19" t="n">
        <v>289</v>
      </c>
      <c r="E26" s="18" t="n">
        <v>20.92082646</v>
      </c>
      <c r="F26" s="20" t="n">
        <v>2.76635607</v>
      </c>
      <c r="G26" s="18" t="n">
        <v>78.65836109999999</v>
      </c>
      <c r="H26" s="20" t="n">
        <v>2.76937509</v>
      </c>
      <c r="I26" s="18" t="s">
        <v>349</v>
      </c>
      <c r="J26" s="20" t="s">
        <v>349</v>
      </c>
      <c r="K26" s="18" t="n">
        <v>0</v>
      </c>
      <c r="L26" s="20" t="n">
        <v>0</v>
      </c>
      <c r="M26" s="18" t="n">
        <v>0</v>
      </c>
      <c r="N26" s="20" t="n">
        <v>0</v>
      </c>
      <c r="O26" s="18" t="n">
        <v>0</v>
      </c>
      <c r="P26" s="20" t="n">
        <v>0</v>
      </c>
      <c r="Q26" s="18" t="n">
        <v>0.42081244</v>
      </c>
      <c r="R26" s="20" t="n">
        <v>0.42910474</v>
      </c>
    </row>
    <row r="27" spans="1:18">
      <c r="A27" s="15" t="s">
        <v>369</v>
      </c>
      <c r="B27" s="17" t="n">
        <v>2616</v>
      </c>
      <c r="C27" s="18">
        <f>(2300.0/B27*100)</f>
        <v/>
      </c>
      <c r="D27" s="19" t="n">
        <v>316</v>
      </c>
      <c r="E27" s="18" t="n">
        <v>13.02004642</v>
      </c>
      <c r="F27" s="20" t="n">
        <v>1.71113086</v>
      </c>
      <c r="G27" s="18" t="n">
        <v>86.33334005</v>
      </c>
      <c r="H27" s="20" t="n">
        <v>1.7341481</v>
      </c>
      <c r="I27" s="18" t="s">
        <v>349</v>
      </c>
      <c r="J27" s="20" t="s">
        <v>349</v>
      </c>
      <c r="K27" s="18" t="n">
        <v>0</v>
      </c>
      <c r="L27" s="20" t="n">
        <v>0</v>
      </c>
      <c r="M27" s="18" t="n">
        <v>0</v>
      </c>
      <c r="N27" s="20" t="n">
        <v>0</v>
      </c>
      <c r="O27" s="18" t="n">
        <v>0</v>
      </c>
      <c r="P27" s="20" t="n">
        <v>0</v>
      </c>
      <c r="Q27" s="18" t="n">
        <v>0.64661353</v>
      </c>
      <c r="R27" s="20" t="n">
        <v>0.45131961</v>
      </c>
    </row>
    <row r="28" spans="1:18">
      <c r="A28" s="15" t="s">
        <v>370</v>
      </c>
      <c r="B28" s="17" t="n">
        <v>3765</v>
      </c>
      <c r="C28" s="18">
        <f>(3318.0/B28*100)</f>
        <v/>
      </c>
      <c r="D28" s="19" t="n">
        <v>447</v>
      </c>
      <c r="E28" s="18" t="n">
        <v>32.01272318</v>
      </c>
      <c r="F28" s="20" t="n">
        <v>2.4070656</v>
      </c>
      <c r="G28" s="18" t="n">
        <v>66.77725469000001</v>
      </c>
      <c r="H28" s="20" t="n">
        <v>2.43430691</v>
      </c>
      <c r="I28" s="18" t="s">
        <v>349</v>
      </c>
      <c r="J28" s="20" t="s">
        <v>349</v>
      </c>
      <c r="K28" s="18" t="n">
        <v>0</v>
      </c>
      <c r="L28" s="20" t="n">
        <v>0</v>
      </c>
      <c r="M28" s="18" t="n">
        <v>0</v>
      </c>
      <c r="N28" s="20" t="n">
        <v>0</v>
      </c>
      <c r="O28" s="18" t="n">
        <v>0</v>
      </c>
      <c r="P28" s="20" t="n">
        <v>0</v>
      </c>
      <c r="Q28" s="18" t="n">
        <v>1.21002213</v>
      </c>
      <c r="R28" s="20" t="n">
        <v>0.6584962</v>
      </c>
    </row>
    <row r="29" spans="1:18">
      <c r="A29" s="15" t="s">
        <v>371</v>
      </c>
      <c r="B29" s="17" t="n">
        <v>2685</v>
      </c>
      <c r="C29" s="18">
        <f>(2355.0/B29*100)</f>
        <v/>
      </c>
      <c r="D29" s="19" t="n">
        <v>330</v>
      </c>
      <c r="E29" s="18" t="n">
        <v>15.9320892</v>
      </c>
      <c r="F29" s="20" t="n">
        <v>2.09006825</v>
      </c>
      <c r="G29" s="18" t="n">
        <v>83.75931174</v>
      </c>
      <c r="H29" s="20" t="n">
        <v>2.10501356</v>
      </c>
      <c r="I29" s="18" t="s">
        <v>349</v>
      </c>
      <c r="J29" s="20" t="s">
        <v>349</v>
      </c>
      <c r="K29" s="18" t="n">
        <v>0</v>
      </c>
      <c r="L29" s="20" t="n">
        <v>0</v>
      </c>
      <c r="M29" s="18" t="n">
        <v>0</v>
      </c>
      <c r="N29" s="20" t="n">
        <v>0</v>
      </c>
      <c r="O29" s="18" t="n">
        <v>0</v>
      </c>
      <c r="P29" s="20" t="n">
        <v>0</v>
      </c>
      <c r="Q29" s="18" t="n">
        <v>0.30859906</v>
      </c>
      <c r="R29" s="20" t="n">
        <v>0.33893081</v>
      </c>
    </row>
    <row r="30" spans="1:18">
      <c r="A30" s="15" t="s">
        <v>372</v>
      </c>
      <c r="B30" s="17" t="n">
        <v>2263</v>
      </c>
      <c r="C30" s="18">
        <f>(1986.0/B30*100)</f>
        <v/>
      </c>
      <c r="D30" s="19" t="n">
        <v>277</v>
      </c>
      <c r="E30" s="18" t="n">
        <v>18.65083692</v>
      </c>
      <c r="F30" s="20" t="n">
        <v>2.8070352</v>
      </c>
      <c r="G30" s="18" t="n">
        <v>81.03483719</v>
      </c>
      <c r="H30" s="20" t="n">
        <v>2.8252711</v>
      </c>
      <c r="I30" s="18" t="s">
        <v>349</v>
      </c>
      <c r="J30" s="20" t="s">
        <v>349</v>
      </c>
      <c r="K30" s="18" t="n">
        <v>0</v>
      </c>
      <c r="L30" s="20" t="n">
        <v>0</v>
      </c>
      <c r="M30" s="18" t="n">
        <v>0</v>
      </c>
      <c r="N30" s="20" t="n">
        <v>0</v>
      </c>
      <c r="O30" s="18" t="n">
        <v>0</v>
      </c>
      <c r="P30" s="20" t="n">
        <v>0</v>
      </c>
      <c r="Q30" s="18" t="n">
        <v>0.31432589</v>
      </c>
      <c r="R30" s="20" t="n">
        <v>0.33910725</v>
      </c>
    </row>
    <row r="31" spans="1:18">
      <c r="A31" s="15" t="s">
        <v>373</v>
      </c>
      <c r="B31" s="17" t="n">
        <v>2750</v>
      </c>
      <c r="C31" s="18">
        <f>(2390.0/B31*100)</f>
        <v/>
      </c>
      <c r="D31" s="19" t="n">
        <v>360</v>
      </c>
      <c r="E31" s="18" t="n">
        <v>16.88458544</v>
      </c>
      <c r="F31" s="20" t="n">
        <v>2.02215989</v>
      </c>
      <c r="G31" s="18" t="n">
        <v>82.06100868</v>
      </c>
      <c r="H31" s="20" t="n">
        <v>2.05650447</v>
      </c>
      <c r="I31" s="18" t="s">
        <v>349</v>
      </c>
      <c r="J31" s="20" t="s">
        <v>349</v>
      </c>
      <c r="K31" s="18" t="n">
        <v>0</v>
      </c>
      <c r="L31" s="20" t="n">
        <v>0</v>
      </c>
      <c r="M31" s="18" t="n">
        <v>0</v>
      </c>
      <c r="N31" s="20" t="n">
        <v>0</v>
      </c>
      <c r="O31" s="18" t="n">
        <v>0</v>
      </c>
      <c r="P31" s="20" t="n">
        <v>0</v>
      </c>
      <c r="Q31" s="18" t="n">
        <v>1.05440588</v>
      </c>
      <c r="R31" s="20" t="n">
        <v>0.53654987</v>
      </c>
    </row>
    <row r="32" spans="1:18">
      <c r="A32" s="15" t="s">
        <v>374</v>
      </c>
      <c r="B32" s="17" t="n">
        <v>2269</v>
      </c>
      <c r="C32" s="18">
        <f>(1900.0/B32*100)</f>
        <v/>
      </c>
      <c r="D32" s="19" t="n">
        <v>369</v>
      </c>
      <c r="E32" s="18" t="n">
        <v>22.96066792</v>
      </c>
      <c r="F32" s="20" t="n">
        <v>2.29964231</v>
      </c>
      <c r="G32" s="18" t="n">
        <v>76.79674648</v>
      </c>
      <c r="H32" s="20" t="n">
        <v>2.31714134</v>
      </c>
      <c r="I32" s="18" t="s">
        <v>349</v>
      </c>
      <c r="J32" s="20" t="s">
        <v>349</v>
      </c>
      <c r="K32" s="18" t="n">
        <v>0</v>
      </c>
      <c r="L32" s="20" t="n">
        <v>0</v>
      </c>
      <c r="M32" s="18" t="n">
        <v>0</v>
      </c>
      <c r="N32" s="20" t="n">
        <v>0</v>
      </c>
      <c r="O32" s="18" t="n">
        <v>0</v>
      </c>
      <c r="P32" s="20" t="n">
        <v>0</v>
      </c>
      <c r="Q32" s="18" t="n">
        <v>0.24258561</v>
      </c>
      <c r="R32" s="20" t="n">
        <v>0.24372471</v>
      </c>
    </row>
    <row r="33" spans="1:18">
      <c r="A33" s="15" t="s">
        <v>375</v>
      </c>
      <c r="B33" s="17" t="n">
        <v>3674</v>
      </c>
      <c r="C33" s="18">
        <f>(3204.0/B33*100)</f>
        <v/>
      </c>
      <c r="D33" s="19" t="n">
        <v>470</v>
      </c>
      <c r="E33" s="18" t="n">
        <v>18.57946251</v>
      </c>
      <c r="F33" s="20" t="n">
        <v>2.13088724</v>
      </c>
      <c r="G33" s="18" t="n">
        <v>79.89955089</v>
      </c>
      <c r="H33" s="20" t="n">
        <v>2.15908866</v>
      </c>
      <c r="I33" s="18" t="s">
        <v>349</v>
      </c>
      <c r="J33" s="20" t="s">
        <v>349</v>
      </c>
      <c r="K33" s="18" t="n">
        <v>0.33249659</v>
      </c>
      <c r="L33" s="20" t="n">
        <v>0.28136996</v>
      </c>
      <c r="M33" s="18" t="n">
        <v>0</v>
      </c>
      <c r="N33" s="20" t="n">
        <v>0</v>
      </c>
      <c r="O33" s="18" t="n">
        <v>0</v>
      </c>
      <c r="P33" s="20" t="n">
        <v>0</v>
      </c>
      <c r="Q33" s="18" t="n">
        <v>1.18849002</v>
      </c>
      <c r="R33" s="20" t="n">
        <v>0.5556261</v>
      </c>
    </row>
    <row r="34" spans="1:18">
      <c r="A34" s="15" t="s">
        <v>376</v>
      </c>
      <c r="B34" s="17" t="n">
        <v>3315</v>
      </c>
      <c r="C34" s="18">
        <f>(2904.0/B34*100)</f>
        <v/>
      </c>
      <c r="D34" s="19" t="n">
        <v>411</v>
      </c>
      <c r="E34" s="18" t="n">
        <v>21.83851101</v>
      </c>
      <c r="F34" s="20" t="n">
        <v>2.54515198</v>
      </c>
      <c r="G34" s="18" t="n">
        <v>76.82430180999999</v>
      </c>
      <c r="H34" s="20" t="n">
        <v>2.54590183</v>
      </c>
      <c r="I34" s="18" t="s">
        <v>349</v>
      </c>
      <c r="J34" s="20" t="s">
        <v>349</v>
      </c>
      <c r="K34" s="18" t="n">
        <v>0.36410818</v>
      </c>
      <c r="L34" s="20" t="n">
        <v>0.35984107</v>
      </c>
      <c r="M34" s="18" t="n">
        <v>0</v>
      </c>
      <c r="N34" s="20" t="n">
        <v>0</v>
      </c>
      <c r="O34" s="18" t="n">
        <v>0</v>
      </c>
      <c r="P34" s="20" t="n">
        <v>0</v>
      </c>
      <c r="Q34" s="18" t="n">
        <v>0.973079</v>
      </c>
      <c r="R34" s="20" t="n">
        <v>0.43711031</v>
      </c>
    </row>
    <row r="35" spans="1:18">
      <c r="A35" s="15" t="s">
        <v>377</v>
      </c>
      <c r="B35" s="17" t="n">
        <v>3505</v>
      </c>
      <c r="C35" s="18">
        <f>(3092.0/B35*100)</f>
        <v/>
      </c>
      <c r="D35" s="19" t="n">
        <v>413</v>
      </c>
      <c r="E35" s="18" t="n">
        <v>15.29264094</v>
      </c>
      <c r="F35" s="20" t="n">
        <v>2.59572116</v>
      </c>
      <c r="G35" s="18" t="n">
        <v>83.50550619000001</v>
      </c>
      <c r="H35" s="20" t="n">
        <v>2.78310502</v>
      </c>
      <c r="I35" s="18" t="s">
        <v>349</v>
      </c>
      <c r="J35" s="20" t="s">
        <v>349</v>
      </c>
      <c r="K35" s="18" t="n">
        <v>0</v>
      </c>
      <c r="L35" s="20" t="n">
        <v>0</v>
      </c>
      <c r="M35" s="18" t="n">
        <v>0</v>
      </c>
      <c r="N35" s="20" t="n">
        <v>0</v>
      </c>
      <c r="O35" s="18" t="n">
        <v>0</v>
      </c>
      <c r="P35" s="20" t="n">
        <v>0</v>
      </c>
      <c r="Q35" s="18" t="n">
        <v>1.20185287</v>
      </c>
      <c r="R35" s="20" t="n">
        <v>0.92293758</v>
      </c>
    </row>
    <row r="36" spans="1:18">
      <c r="A36" s="15" t="s">
        <v>378</v>
      </c>
      <c r="B36" s="17" t="n">
        <v>3332</v>
      </c>
      <c r="C36" s="18">
        <f>(2922.0/B36*100)</f>
        <v/>
      </c>
      <c r="D36" s="19" t="n">
        <v>410</v>
      </c>
      <c r="E36" s="18" t="n">
        <v>21.13818944</v>
      </c>
      <c r="F36" s="20" t="n">
        <v>2.14881383</v>
      </c>
      <c r="G36" s="18" t="n">
        <v>78.22540929</v>
      </c>
      <c r="H36" s="20" t="n">
        <v>2.13964847</v>
      </c>
      <c r="I36" s="18" t="s">
        <v>349</v>
      </c>
      <c r="J36" s="20" t="s">
        <v>349</v>
      </c>
      <c r="K36" s="18" t="n">
        <v>0.29543863</v>
      </c>
      <c r="L36" s="20" t="n">
        <v>0.29028561</v>
      </c>
      <c r="M36" s="18" t="n">
        <v>0</v>
      </c>
      <c r="N36" s="20" t="n">
        <v>0</v>
      </c>
      <c r="O36" s="18" t="n">
        <v>0</v>
      </c>
      <c r="P36" s="20" t="n">
        <v>0</v>
      </c>
      <c r="Q36" s="18" t="n">
        <v>0.34096264</v>
      </c>
      <c r="R36" s="20" t="n">
        <v>0.35759632</v>
      </c>
    </row>
    <row r="37" spans="1:18">
      <c r="A37" s="15" t="s">
        <v>379</v>
      </c>
      <c r="B37" s="17" t="n">
        <v>2727</v>
      </c>
      <c r="C37" s="18">
        <f>(2417.0/B37*100)</f>
        <v/>
      </c>
      <c r="D37" s="19" t="n">
        <v>310</v>
      </c>
      <c r="E37" s="18" t="n">
        <v>12.54976328</v>
      </c>
      <c r="F37" s="20" t="n">
        <v>1.79486349</v>
      </c>
      <c r="G37" s="18" t="n">
        <v>86.55688999</v>
      </c>
      <c r="H37" s="20" t="n">
        <v>1.91876752</v>
      </c>
      <c r="I37" s="18" t="s">
        <v>349</v>
      </c>
      <c r="J37" s="20" t="s">
        <v>349</v>
      </c>
      <c r="K37" s="18" t="n">
        <v>0</v>
      </c>
      <c r="L37" s="20" t="n">
        <v>0</v>
      </c>
      <c r="M37" s="18" t="n">
        <v>0</v>
      </c>
      <c r="N37" s="20" t="n">
        <v>0</v>
      </c>
      <c r="O37" s="18" t="n">
        <v>0</v>
      </c>
      <c r="P37" s="20" t="n">
        <v>0</v>
      </c>
      <c r="Q37" s="18" t="n">
        <v>0.89334672</v>
      </c>
      <c r="R37" s="20" t="n">
        <v>0.50546654</v>
      </c>
    </row>
    <row r="38" spans="1:18">
      <c r="A38" s="15" t="s">
        <v>380</v>
      </c>
      <c r="B38" s="17" t="n">
        <v>3053</v>
      </c>
      <c r="C38" s="18">
        <f>(2553.0/B38*100)</f>
        <v/>
      </c>
      <c r="D38" s="19" t="n">
        <v>500</v>
      </c>
      <c r="E38" s="18" t="n">
        <v>10.91360404</v>
      </c>
      <c r="F38" s="20" t="n">
        <v>1.89181257</v>
      </c>
      <c r="G38" s="18" t="n">
        <v>88.52463586</v>
      </c>
      <c r="H38" s="20" t="n">
        <v>1.91313116</v>
      </c>
      <c r="I38" s="18" t="s">
        <v>349</v>
      </c>
      <c r="J38" s="20" t="s">
        <v>349</v>
      </c>
      <c r="K38" s="18" t="n">
        <v>0</v>
      </c>
      <c r="L38" s="20" t="n">
        <v>0</v>
      </c>
      <c r="M38" s="18" t="n">
        <v>0</v>
      </c>
      <c r="N38" s="20" t="n">
        <v>0</v>
      </c>
      <c r="O38" s="18" t="n">
        <v>0</v>
      </c>
      <c r="P38" s="20" t="n">
        <v>0</v>
      </c>
      <c r="Q38" s="18" t="n">
        <v>0.5617601</v>
      </c>
      <c r="R38" s="20" t="n">
        <v>0.34143796</v>
      </c>
    </row>
    <row r="39" spans="1:18">
      <c r="A39" s="15" t="s">
        <v>381</v>
      </c>
      <c r="B39" s="17" t="n">
        <v>2957</v>
      </c>
      <c r="C39" s="18">
        <f>(2593.0/B39*100)</f>
        <v/>
      </c>
      <c r="D39" s="19" t="n">
        <v>364</v>
      </c>
      <c r="E39" s="18" t="n">
        <v>36.71251055</v>
      </c>
      <c r="F39" s="20" t="n">
        <v>2.74761799</v>
      </c>
      <c r="G39" s="18" t="n">
        <v>60.50018335</v>
      </c>
      <c r="H39" s="20" t="n">
        <v>3.02678697</v>
      </c>
      <c r="I39" s="18" t="s">
        <v>349</v>
      </c>
      <c r="J39" s="20" t="s">
        <v>349</v>
      </c>
      <c r="K39" s="18" t="n">
        <v>0</v>
      </c>
      <c r="L39" s="20" t="n">
        <v>0</v>
      </c>
      <c r="M39" s="18" t="n">
        <v>0</v>
      </c>
      <c r="N39" s="20" t="n">
        <v>0</v>
      </c>
      <c r="O39" s="18" t="n">
        <v>0</v>
      </c>
      <c r="P39" s="20" t="n">
        <v>0</v>
      </c>
      <c r="Q39" s="18" t="n">
        <v>2.7873061</v>
      </c>
      <c r="R39" s="20" t="n">
        <v>1.03341734</v>
      </c>
    </row>
    <row r="40" spans="1:18">
      <c r="A40" s="15" t="s">
        <v>382</v>
      </c>
      <c r="B40" s="17" t="n">
        <v>7235</v>
      </c>
      <c r="C40" s="18">
        <f>(6326.0/B40*100)</f>
        <v/>
      </c>
      <c r="D40" s="19" t="n">
        <v>909</v>
      </c>
      <c r="E40" s="18" t="n">
        <v>18.44832697</v>
      </c>
      <c r="F40" s="20" t="n">
        <v>1.78561961</v>
      </c>
      <c r="G40" s="18" t="n">
        <v>80.52184260999999</v>
      </c>
      <c r="H40" s="20" t="n">
        <v>1.73778309</v>
      </c>
      <c r="I40" s="18" t="s">
        <v>349</v>
      </c>
      <c r="J40" s="20" t="s">
        <v>349</v>
      </c>
      <c r="K40" s="18" t="n">
        <v>0</v>
      </c>
      <c r="L40" s="20" t="n">
        <v>0</v>
      </c>
      <c r="M40" s="18" t="n">
        <v>0</v>
      </c>
      <c r="N40" s="20" t="n">
        <v>0</v>
      </c>
      <c r="O40" s="18" t="n">
        <v>0</v>
      </c>
      <c r="P40" s="20" t="n">
        <v>0</v>
      </c>
      <c r="Q40" s="18" t="n">
        <v>1.02983041</v>
      </c>
      <c r="R40" s="20" t="n">
        <v>0.57086136</v>
      </c>
    </row>
    <row r="41" spans="1:18">
      <c r="A41" s="15" t="s">
        <v>383</v>
      </c>
      <c r="B41" s="17" t="n">
        <v>2858</v>
      </c>
      <c r="C41" s="18">
        <f>(2534.0/B41*100)</f>
        <v/>
      </c>
      <c r="D41" s="19" t="n">
        <v>324</v>
      </c>
      <c r="E41" s="18" t="n">
        <v>22.34560621</v>
      </c>
      <c r="F41" s="20" t="n">
        <v>2.7408177</v>
      </c>
      <c r="G41" s="18" t="n">
        <v>77.08339176</v>
      </c>
      <c r="H41" s="20" t="n">
        <v>2.76040037</v>
      </c>
      <c r="I41" s="18" t="s">
        <v>349</v>
      </c>
      <c r="J41" s="20" t="s">
        <v>349</v>
      </c>
      <c r="K41" s="18" t="n">
        <v>0.28716248</v>
      </c>
      <c r="L41" s="20" t="n">
        <v>0.27914329</v>
      </c>
      <c r="M41" s="18" t="n">
        <v>0</v>
      </c>
      <c r="N41" s="20" t="n">
        <v>0</v>
      </c>
      <c r="O41" s="18" t="n">
        <v>0</v>
      </c>
      <c r="P41" s="20" t="n">
        <v>0</v>
      </c>
      <c r="Q41" s="18" t="n">
        <v>0.28383955</v>
      </c>
      <c r="R41" s="20" t="n">
        <v>0.30095856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(9766.0/B46*100)</f>
        <v/>
      </c>
      <c r="D46" s="19" t="n">
        <v>1302</v>
      </c>
      <c r="E46" s="18" t="n">
        <v>32.16229627</v>
      </c>
      <c r="F46" s="20" t="n">
        <v>1.51123374</v>
      </c>
      <c r="G46" s="18" t="n">
        <v>64.01368533</v>
      </c>
      <c r="H46" s="20" t="n">
        <v>1.62528048</v>
      </c>
      <c r="I46" s="18" t="s">
        <v>349</v>
      </c>
      <c r="J46" s="20" t="s">
        <v>349</v>
      </c>
      <c r="K46" s="18" t="n">
        <v>0.35149699</v>
      </c>
      <c r="L46" s="20" t="n">
        <v>0.21710222</v>
      </c>
      <c r="M46" s="18" t="n">
        <v>0</v>
      </c>
      <c r="N46" s="20" t="n">
        <v>0</v>
      </c>
      <c r="O46" s="18" t="n">
        <v>0</v>
      </c>
      <c r="P46" s="20" t="n">
        <v>0</v>
      </c>
      <c r="Q46" s="18" t="n">
        <v>3.4725214</v>
      </c>
      <c r="R46" s="20" t="n">
        <v>0.59207166</v>
      </c>
    </row>
    <row r="47" spans="1:18">
      <c r="A47" s="15" t="s">
        <v>389</v>
      </c>
      <c r="B47" s="17" t="n">
        <v>3105</v>
      </c>
      <c r="C47" s="18">
        <f>(2729.0/B47*100)</f>
        <v/>
      </c>
      <c r="D47" s="19" t="n">
        <v>376</v>
      </c>
      <c r="E47" s="18" t="n">
        <v>25.84405271</v>
      </c>
      <c r="F47" s="20" t="n">
        <v>2.44528659</v>
      </c>
      <c r="G47" s="18" t="n">
        <v>72.60012704</v>
      </c>
      <c r="H47" s="20" t="n">
        <v>2.49177492</v>
      </c>
      <c r="I47" s="18" t="s">
        <v>349</v>
      </c>
      <c r="J47" s="20" t="s">
        <v>349</v>
      </c>
      <c r="K47" s="18" t="n">
        <v>0</v>
      </c>
      <c r="L47" s="20" t="n">
        <v>0</v>
      </c>
      <c r="M47" s="18" t="n">
        <v>0</v>
      </c>
      <c r="N47" s="20" t="n">
        <v>0</v>
      </c>
      <c r="O47" s="18" t="n">
        <v>0</v>
      </c>
      <c r="P47" s="20" t="n">
        <v>0</v>
      </c>
      <c r="Q47" s="18" t="n">
        <v>1.55582025</v>
      </c>
      <c r="R47" s="20" t="n">
        <v>0.56745261</v>
      </c>
    </row>
    <row r="48" spans="1:18">
      <c r="A48" s="15" t="s">
        <v>390</v>
      </c>
      <c r="B48" s="17" t="n">
        <v>5159</v>
      </c>
      <c r="C48" s="18">
        <f>(4499.0/B48*100)</f>
        <v/>
      </c>
      <c r="D48" s="19" t="n">
        <v>660</v>
      </c>
      <c r="E48" s="18" t="n">
        <v>24.0205144</v>
      </c>
      <c r="F48" s="20" t="n">
        <v>2.39532436</v>
      </c>
      <c r="G48" s="18" t="n">
        <v>74.50302044999999</v>
      </c>
      <c r="H48" s="20" t="n">
        <v>2.43018963</v>
      </c>
      <c r="I48" s="18" t="s">
        <v>349</v>
      </c>
      <c r="J48" s="20" t="s">
        <v>349</v>
      </c>
      <c r="K48" s="18" t="n">
        <v>0.2854918</v>
      </c>
      <c r="L48" s="20" t="n">
        <v>0.21271261</v>
      </c>
      <c r="M48" s="18" t="n">
        <v>0</v>
      </c>
      <c r="N48" s="20" t="n">
        <v>0</v>
      </c>
      <c r="O48" s="18" t="n">
        <v>0</v>
      </c>
      <c r="P48" s="20" t="n">
        <v>0</v>
      </c>
      <c r="Q48" s="18" t="n">
        <v>1.19097335</v>
      </c>
      <c r="R48" s="20" t="n">
        <v>0.4907473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(4955.0/B50*100)</f>
        <v/>
      </c>
      <c r="D50" s="19" t="n">
        <v>682</v>
      </c>
      <c r="E50" s="18" t="n">
        <v>36.79585623</v>
      </c>
      <c r="F50" s="20" t="n">
        <v>2.81997553</v>
      </c>
      <c r="G50" s="18" t="n">
        <v>61.41613544</v>
      </c>
      <c r="H50" s="20" t="n">
        <v>2.90769223</v>
      </c>
      <c r="I50" s="18" t="s">
        <v>349</v>
      </c>
      <c r="J50" s="20" t="s">
        <v>349</v>
      </c>
      <c r="K50" s="18" t="n">
        <v>0.24232902</v>
      </c>
      <c r="L50" s="20" t="n">
        <v>0.24138637</v>
      </c>
      <c r="M50" s="18" t="n">
        <v>0</v>
      </c>
      <c r="N50" s="20" t="n">
        <v>0</v>
      </c>
      <c r="O50" s="18" t="n">
        <v>0</v>
      </c>
      <c r="P50" s="20" t="n">
        <v>0</v>
      </c>
      <c r="Q50" s="18" t="n">
        <v>1.5456793</v>
      </c>
      <c r="R50" s="20" t="n">
        <v>0.54953743</v>
      </c>
    </row>
    <row r="51" spans="1:18">
      <c r="A51" s="15" t="s">
        <v>393</v>
      </c>
      <c r="B51" s="17" t="n">
        <v>3372</v>
      </c>
      <c r="C51" s="18">
        <f>(3022.0/B51*100)</f>
        <v/>
      </c>
      <c r="D51" s="19" t="n">
        <v>350</v>
      </c>
      <c r="E51" s="18" t="n">
        <v>27.0172276</v>
      </c>
      <c r="F51" s="20" t="n">
        <v>2.69278518</v>
      </c>
      <c r="G51" s="18" t="n">
        <v>71.75799236</v>
      </c>
      <c r="H51" s="20" t="n">
        <v>2.50619183</v>
      </c>
      <c r="I51" s="18" t="s">
        <v>349</v>
      </c>
      <c r="J51" s="20" t="s">
        <v>349</v>
      </c>
      <c r="K51" s="18" t="n">
        <v>0</v>
      </c>
      <c r="L51" s="20" t="n">
        <v>0</v>
      </c>
      <c r="M51" s="18" t="n">
        <v>0</v>
      </c>
      <c r="N51" s="20" t="n">
        <v>0</v>
      </c>
      <c r="O51" s="18" t="n">
        <v>0</v>
      </c>
      <c r="P51" s="20" t="n">
        <v>0</v>
      </c>
      <c r="Q51" s="18" t="n">
        <v>1.22478003</v>
      </c>
      <c r="R51" s="20" t="n">
        <v>0.63012176</v>
      </c>
    </row>
    <row r="52" spans="1:18">
      <c r="A52" s="15" t="s">
        <v>394</v>
      </c>
      <c r="B52" s="17" t="n">
        <v>2796</v>
      </c>
      <c r="C52" s="18">
        <f>(2446.0/B52*100)</f>
        <v/>
      </c>
      <c r="D52" s="19" t="n">
        <v>350</v>
      </c>
      <c r="E52" s="18" t="n">
        <v>28.33598421</v>
      </c>
      <c r="F52" s="20" t="n">
        <v>2.66219105</v>
      </c>
      <c r="G52" s="18" t="n">
        <v>71.11386666999999</v>
      </c>
      <c r="H52" s="20" t="n">
        <v>2.64467181</v>
      </c>
      <c r="I52" s="18" t="s">
        <v>349</v>
      </c>
      <c r="J52" s="20" t="s">
        <v>349</v>
      </c>
      <c r="K52" s="18" t="n">
        <v>0</v>
      </c>
      <c r="L52" s="20" t="n">
        <v>0</v>
      </c>
      <c r="M52" s="18" t="n">
        <v>0</v>
      </c>
      <c r="N52" s="20" t="n">
        <v>0</v>
      </c>
      <c r="O52" s="18" t="n">
        <v>0</v>
      </c>
      <c r="P52" s="20" t="n">
        <v>0</v>
      </c>
      <c r="Q52" s="18" t="n">
        <v>0.55014913</v>
      </c>
      <c r="R52" s="20" t="n">
        <v>0.37571246</v>
      </c>
    </row>
    <row r="53" spans="1:18">
      <c r="A53" s="15" t="s">
        <v>395</v>
      </c>
      <c r="B53" s="17" t="n">
        <v>2811</v>
      </c>
      <c r="C53" s="18">
        <f>(2450.0/B53*100)</f>
        <v/>
      </c>
      <c r="D53" s="19" t="n">
        <v>361</v>
      </c>
      <c r="E53" s="18" t="n">
        <v>26.14449632</v>
      </c>
      <c r="F53" s="20" t="n">
        <v>2.57546234</v>
      </c>
      <c r="G53" s="18" t="n">
        <v>71.50101373</v>
      </c>
      <c r="H53" s="20" t="n">
        <v>2.7217716</v>
      </c>
      <c r="I53" s="18" t="s">
        <v>349</v>
      </c>
      <c r="J53" s="20" t="s">
        <v>349</v>
      </c>
      <c r="K53" s="18" t="n">
        <v>0.27759503</v>
      </c>
      <c r="L53" s="20" t="n">
        <v>0.27619004</v>
      </c>
      <c r="M53" s="18" t="n">
        <v>0</v>
      </c>
      <c r="N53" s="20" t="n">
        <v>0</v>
      </c>
      <c r="O53" s="18" t="n">
        <v>0</v>
      </c>
      <c r="P53" s="20" t="n">
        <v>0</v>
      </c>
      <c r="Q53" s="18" t="n">
        <v>2.07689493</v>
      </c>
      <c r="R53" s="20" t="n">
        <v>0.78163933</v>
      </c>
    </row>
    <row r="54" spans="1:18">
      <c r="A54" s="15" t="s">
        <v>396</v>
      </c>
      <c r="B54" s="17" t="n">
        <v>2266</v>
      </c>
      <c r="C54" s="18">
        <f>(1861.0/B54*100)</f>
        <v/>
      </c>
      <c r="D54" s="19" t="n">
        <v>405</v>
      </c>
      <c r="E54" s="18" t="n">
        <v>49.8947907</v>
      </c>
      <c r="F54" s="20" t="n">
        <v>2.50791259</v>
      </c>
      <c r="G54" s="18" t="n">
        <v>42.27682281</v>
      </c>
      <c r="H54" s="20" t="n">
        <v>2.79272425</v>
      </c>
      <c r="I54" s="18" t="s">
        <v>349</v>
      </c>
      <c r="J54" s="20" t="s">
        <v>349</v>
      </c>
      <c r="K54" s="18" t="n">
        <v>2.80626091</v>
      </c>
      <c r="L54" s="20" t="n">
        <v>0.93092023</v>
      </c>
      <c r="M54" s="18" t="n">
        <v>0</v>
      </c>
      <c r="N54" s="20" t="n">
        <v>0</v>
      </c>
      <c r="O54" s="18" t="n">
        <v>0</v>
      </c>
      <c r="P54" s="20" t="n">
        <v>0</v>
      </c>
      <c r="Q54" s="18" t="n">
        <v>5.02212558</v>
      </c>
      <c r="R54" s="20" t="n">
        <v>1.28997088</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(2359.0/B56*100)</f>
        <v/>
      </c>
      <c r="D56" s="19" t="n">
        <v>325</v>
      </c>
      <c r="E56" s="18" t="n">
        <v>15.02786838</v>
      </c>
      <c r="F56" s="20" t="n">
        <v>2.12458686</v>
      </c>
      <c r="G56" s="18" t="n">
        <v>84.22067214</v>
      </c>
      <c r="H56" s="20" t="n">
        <v>2.19434627</v>
      </c>
      <c r="I56" s="18" t="s">
        <v>349</v>
      </c>
      <c r="J56" s="20" t="s">
        <v>349</v>
      </c>
      <c r="K56" s="18" t="n">
        <v>0</v>
      </c>
      <c r="L56" s="20" t="n">
        <v>0</v>
      </c>
      <c r="M56" s="18" t="n">
        <v>0</v>
      </c>
      <c r="N56" s="20" t="n">
        <v>0</v>
      </c>
      <c r="O56" s="18" t="n">
        <v>0</v>
      </c>
      <c r="P56" s="20" t="n">
        <v>0</v>
      </c>
      <c r="Q56" s="18" t="n">
        <v>0.75145947</v>
      </c>
      <c r="R56" s="20" t="n">
        <v>0.38157604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(2896.0/B61*100)</f>
        <v/>
      </c>
      <c r="D61" s="19" t="n">
        <v>428</v>
      </c>
      <c r="E61" s="18" t="n">
        <v>26.16221614</v>
      </c>
      <c r="F61" s="20" t="n">
        <v>2.32340575</v>
      </c>
      <c r="G61" s="18" t="n">
        <v>72.65458357999999</v>
      </c>
      <c r="H61" s="20" t="n">
        <v>2.37703309</v>
      </c>
      <c r="I61" s="18" t="s">
        <v>349</v>
      </c>
      <c r="J61" s="20" t="s">
        <v>349</v>
      </c>
      <c r="K61" s="18" t="n">
        <v>0</v>
      </c>
      <c r="L61" s="20" t="n">
        <v>0</v>
      </c>
      <c r="M61" s="18" t="n">
        <v>0</v>
      </c>
      <c r="N61" s="20" t="n">
        <v>0</v>
      </c>
      <c r="O61" s="18" t="n">
        <v>0</v>
      </c>
      <c r="P61" s="20" t="n">
        <v>0</v>
      </c>
      <c r="Q61" s="18" t="n">
        <v>1.18320028</v>
      </c>
      <c r="R61" s="20" t="n">
        <v>0.63565466</v>
      </c>
    </row>
    <row r="62" spans="1:18">
      <c r="A62" s="15" t="s">
        <v>404</v>
      </c>
      <c r="B62" s="17" t="n">
        <v>2246</v>
      </c>
      <c r="C62" s="18">
        <f>(1978.0/B62*100)</f>
        <v/>
      </c>
      <c r="D62" s="19" t="n">
        <v>268</v>
      </c>
      <c r="E62" s="18" t="n">
        <v>19.72608062</v>
      </c>
      <c r="F62" s="20" t="n">
        <v>2.54427546</v>
      </c>
      <c r="G62" s="18" t="n">
        <v>80.27391938</v>
      </c>
      <c r="H62" s="20" t="n">
        <v>2.54427546</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(2530.0/B66*100)</f>
        <v/>
      </c>
      <c r="D66" s="19" t="n">
        <v>364</v>
      </c>
      <c r="E66" s="18" t="n">
        <v>34.12368658</v>
      </c>
      <c r="F66" s="20" t="n">
        <v>2.30314197</v>
      </c>
      <c r="G66" s="18" t="n">
        <v>62.66704957</v>
      </c>
      <c r="H66" s="20" t="n">
        <v>2.47926873</v>
      </c>
      <c r="I66" s="18" t="s">
        <v>349</v>
      </c>
      <c r="J66" s="20" t="s">
        <v>349</v>
      </c>
      <c r="K66" s="18" t="n">
        <v>0.47793759</v>
      </c>
      <c r="L66" s="20" t="n">
        <v>0.34335119</v>
      </c>
      <c r="M66" s="18" t="n">
        <v>0</v>
      </c>
      <c r="N66" s="20" t="n">
        <v>0</v>
      </c>
      <c r="O66" s="18" t="n">
        <v>0</v>
      </c>
      <c r="P66" s="20" t="n">
        <v>0</v>
      </c>
      <c r="Q66" s="18" t="n">
        <v>2.73132626</v>
      </c>
      <c r="R66" s="20" t="n">
        <v>0.73945672</v>
      </c>
    </row>
    <row r="67" spans="1:18">
      <c r="A67" s="15" t="s">
        <v>409</v>
      </c>
      <c r="B67" s="17" t="n">
        <v>3511</v>
      </c>
      <c r="C67" s="18">
        <f>(3092.0/B67*100)</f>
        <v/>
      </c>
      <c r="D67" s="19" t="n">
        <v>419</v>
      </c>
      <c r="E67" s="18" t="n">
        <v>32.15125807</v>
      </c>
      <c r="F67" s="20" t="n">
        <v>2.46335009</v>
      </c>
      <c r="G67" s="18" t="n">
        <v>64.40681789</v>
      </c>
      <c r="H67" s="20" t="n">
        <v>2.45821211</v>
      </c>
      <c r="I67" s="18" t="s">
        <v>349</v>
      </c>
      <c r="J67" s="20" t="s">
        <v>349</v>
      </c>
      <c r="K67" s="18" t="n">
        <v>0</v>
      </c>
      <c r="L67" s="20" t="n">
        <v>0</v>
      </c>
      <c r="M67" s="18" t="n">
        <v>0</v>
      </c>
      <c r="N67" s="20" t="n">
        <v>0</v>
      </c>
      <c r="O67" s="18" t="n">
        <v>0</v>
      </c>
      <c r="P67" s="20" t="n">
        <v>0</v>
      </c>
      <c r="Q67" s="18" t="n">
        <v>3.44192404</v>
      </c>
      <c r="R67" s="20" t="n">
        <v>0.93155736</v>
      </c>
    </row>
    <row r="68" spans="1:18">
      <c r="A68" s="15" t="s">
        <v>410</v>
      </c>
      <c r="B68" s="17" t="n">
        <v>6049</v>
      </c>
      <c r="C68" s="18">
        <f>(5040.0/B68*100)</f>
        <v/>
      </c>
      <c r="D68" s="19" t="n">
        <v>1009</v>
      </c>
      <c r="E68" s="18" t="n">
        <v>34.37858548</v>
      </c>
      <c r="F68" s="20" t="n">
        <v>1.50447565</v>
      </c>
      <c r="G68" s="18" t="n">
        <v>61.35085287</v>
      </c>
      <c r="H68" s="20" t="n">
        <v>1.60426082</v>
      </c>
      <c r="I68" s="18" t="s">
        <v>349</v>
      </c>
      <c r="J68" s="20" t="s">
        <v>349</v>
      </c>
      <c r="K68" s="18" t="n">
        <v>1.07820171</v>
      </c>
      <c r="L68" s="20" t="n">
        <v>0.31847419</v>
      </c>
      <c r="M68" s="18" t="n">
        <v>0</v>
      </c>
      <c r="N68" s="20" t="n">
        <v>0</v>
      </c>
      <c r="O68" s="18" t="n">
        <v>0</v>
      </c>
      <c r="P68" s="20" t="n">
        <v>0</v>
      </c>
      <c r="Q68" s="18" t="n">
        <v>3.19235995</v>
      </c>
      <c r="R68" s="20" t="n">
        <v>0.63529486</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(2572.0/B70*100)</f>
        <v/>
      </c>
      <c r="D70" s="19" t="n">
        <v>357</v>
      </c>
      <c r="E70" s="18" t="n">
        <v>16.55099836</v>
      </c>
      <c r="F70" s="20" t="n">
        <v>2.12168382</v>
      </c>
      <c r="G70" s="18" t="n">
        <v>82.62571071000001</v>
      </c>
      <c r="H70" s="20" t="n">
        <v>2.1832403</v>
      </c>
      <c r="I70" s="18" t="s">
        <v>349</v>
      </c>
      <c r="J70" s="20" t="s">
        <v>349</v>
      </c>
      <c r="K70" s="18" t="n">
        <v>0</v>
      </c>
      <c r="L70" s="20" t="n">
        <v>0</v>
      </c>
      <c r="M70" s="18" t="n">
        <v>0</v>
      </c>
      <c r="N70" s="20" t="n">
        <v>0</v>
      </c>
      <c r="O70" s="18" t="n">
        <v>0</v>
      </c>
      <c r="P70" s="20" t="n">
        <v>0</v>
      </c>
      <c r="Q70" s="18" t="n">
        <v>0.82329093</v>
      </c>
      <c r="R70" s="20" t="n">
        <v>0.42026168</v>
      </c>
    </row>
    <row r="71" spans="1:18">
      <c r="A71" s="15" t="s">
        <v>413</v>
      </c>
      <c r="B71" s="17" t="n">
        <v>3142</v>
      </c>
      <c r="C71" s="18">
        <f>(2753.0/B71*100)</f>
        <v/>
      </c>
      <c r="D71" s="19" t="n">
        <v>389</v>
      </c>
      <c r="E71" s="18" t="n">
        <v>18.46841923</v>
      </c>
      <c r="F71" s="20" t="n">
        <v>1.91645799</v>
      </c>
      <c r="G71" s="18" t="n">
        <v>81.10595761</v>
      </c>
      <c r="H71" s="20" t="n">
        <v>1.94110599</v>
      </c>
      <c r="I71" s="18" t="s">
        <v>349</v>
      </c>
      <c r="J71" s="20" t="s">
        <v>349</v>
      </c>
      <c r="K71" s="18" t="n">
        <v>0</v>
      </c>
      <c r="L71" s="20" t="n">
        <v>0</v>
      </c>
      <c r="M71" s="18" t="n">
        <v>0</v>
      </c>
      <c r="N71" s="20" t="n">
        <v>0</v>
      </c>
      <c r="O71" s="18" t="n">
        <v>0</v>
      </c>
      <c r="P71" s="20" t="n">
        <v>0</v>
      </c>
      <c r="Q71" s="18" t="n">
        <v>0.42562316</v>
      </c>
      <c r="R71" s="20" t="n">
        <v>0.31527294</v>
      </c>
    </row>
    <row r="72" spans="1:18">
      <c r="A72" s="15" t="s">
        <v>414</v>
      </c>
      <c r="B72" s="17" t="n">
        <v>3889</v>
      </c>
      <c r="C72" s="18">
        <f>(3422.0/B72*100)</f>
        <v/>
      </c>
      <c r="D72" s="19" t="n">
        <v>467</v>
      </c>
      <c r="E72" s="18" t="n">
        <v>20.23207838</v>
      </c>
      <c r="F72" s="20" t="n">
        <v>1.85702279</v>
      </c>
      <c r="G72" s="18" t="n">
        <v>79.59252592999999</v>
      </c>
      <c r="H72" s="20" t="n">
        <v>1.85677277</v>
      </c>
      <c r="I72" s="18" t="s">
        <v>349</v>
      </c>
      <c r="J72" s="20" t="s">
        <v>349</v>
      </c>
      <c r="K72" s="18" t="n">
        <v>0</v>
      </c>
      <c r="L72" s="20" t="n">
        <v>0</v>
      </c>
      <c r="M72" s="18" t="n">
        <v>0</v>
      </c>
      <c r="N72" s="20" t="n">
        <v>0</v>
      </c>
      <c r="O72" s="18" t="n">
        <v>0</v>
      </c>
      <c r="P72" s="20" t="n">
        <v>0</v>
      </c>
      <c r="Q72" s="18" t="n">
        <v>0.17539569</v>
      </c>
      <c r="R72" s="20" t="n">
        <v>0.17619139</v>
      </c>
    </row>
    <row r="73" spans="1:18">
      <c r="A73" s="15" t="s">
        <v>415</v>
      </c>
      <c r="B73" s="17" t="n">
        <v>3597</v>
      </c>
      <c r="C73" s="18">
        <f>(3167.0/B73*100)</f>
        <v/>
      </c>
      <c r="D73" s="19" t="n">
        <v>430</v>
      </c>
      <c r="E73" s="18" t="n">
        <v>33.83398128</v>
      </c>
      <c r="F73" s="20" t="n">
        <v>2.86359023</v>
      </c>
      <c r="G73" s="18" t="n">
        <v>63.60593345</v>
      </c>
      <c r="H73" s="20" t="n">
        <v>3.02099223</v>
      </c>
      <c r="I73" s="18" t="s">
        <v>349</v>
      </c>
      <c r="J73" s="20" t="s">
        <v>349</v>
      </c>
      <c r="K73" s="18" t="n">
        <v>0</v>
      </c>
      <c r="L73" s="20" t="n">
        <v>0</v>
      </c>
      <c r="M73" s="18" t="n">
        <v>0</v>
      </c>
      <c r="N73" s="20" t="n">
        <v>0</v>
      </c>
      <c r="O73" s="18" t="n">
        <v>0</v>
      </c>
      <c r="P73" s="20" t="n">
        <v>0</v>
      </c>
      <c r="Q73" s="18" t="n">
        <v>2.56008527</v>
      </c>
      <c r="R73" s="20" t="n">
        <v>1.02650545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(2133.0/B75*100)</f>
        <v/>
      </c>
      <c r="D75" s="19" t="n">
        <v>273</v>
      </c>
      <c r="E75" s="18" t="n">
        <v>49.59279135</v>
      </c>
      <c r="F75" s="20" t="n">
        <v>3.22226813</v>
      </c>
      <c r="G75" s="18" t="n">
        <v>46.19791991</v>
      </c>
      <c r="H75" s="20" t="n">
        <v>3.27145141</v>
      </c>
      <c r="I75" s="18" t="s">
        <v>349</v>
      </c>
      <c r="J75" s="20" t="s">
        <v>349</v>
      </c>
      <c r="K75" s="18" t="n">
        <v>0.60571562</v>
      </c>
      <c r="L75" s="20" t="n">
        <v>0.44215337</v>
      </c>
      <c r="M75" s="18" t="n">
        <v>0</v>
      </c>
      <c r="N75" s="20" t="n">
        <v>0</v>
      </c>
      <c r="O75" s="18" t="n">
        <v>0</v>
      </c>
      <c r="P75" s="20" t="n">
        <v>0</v>
      </c>
      <c r="Q75" s="18" t="n">
        <v>3.60357312</v>
      </c>
      <c r="R75" s="20" t="n">
        <v>0.96301458</v>
      </c>
    </row>
    <row r="76" spans="1:18">
      <c r="A76" s="15" t="s">
        <v>418</v>
      </c>
      <c r="B76" s="17" t="n">
        <v>7052</v>
      </c>
      <c r="C76" s="18">
        <f>(6173.0/B76*100)</f>
        <v/>
      </c>
      <c r="D76" s="19" t="n">
        <v>879</v>
      </c>
      <c r="E76" s="18" t="n">
        <v>36.0522519</v>
      </c>
      <c r="F76" s="20" t="n">
        <v>1.79524864</v>
      </c>
      <c r="G76" s="18" t="n">
        <v>60.59337171</v>
      </c>
      <c r="H76" s="20" t="n">
        <v>2.0019902</v>
      </c>
      <c r="I76" s="18" t="s">
        <v>349</v>
      </c>
      <c r="J76" s="20" t="s">
        <v>349</v>
      </c>
      <c r="K76" s="18" t="n">
        <v>0.14053234</v>
      </c>
      <c r="L76" s="20" t="n">
        <v>0.10568829</v>
      </c>
      <c r="M76" s="18" t="n">
        <v>0</v>
      </c>
      <c r="N76" s="20" t="n">
        <v>0</v>
      </c>
      <c r="O76" s="18" t="n">
        <v>0</v>
      </c>
      <c r="P76" s="20" t="n">
        <v>0</v>
      </c>
      <c r="Q76" s="18" t="n">
        <v>3.21384405</v>
      </c>
      <c r="R76" s="20" t="n">
        <v>0.6797895</v>
      </c>
    </row>
    <row r="77" spans="1:18">
      <c r="A77" s="15" t="s">
        <v>419</v>
      </c>
      <c r="B77" s="17" t="n">
        <v>2908</v>
      </c>
      <c r="C77" s="18">
        <f>(2566.0/B77*100)</f>
        <v/>
      </c>
      <c r="D77" s="19" t="n">
        <v>342</v>
      </c>
      <c r="E77" s="18" t="n">
        <v>28.44219978</v>
      </c>
      <c r="F77" s="20" t="n">
        <v>2.70368738</v>
      </c>
      <c r="G77" s="18" t="n">
        <v>70.78342403000001</v>
      </c>
      <c r="H77" s="20" t="n">
        <v>2.7708935</v>
      </c>
      <c r="I77" s="18" t="s">
        <v>349</v>
      </c>
      <c r="J77" s="20" t="s">
        <v>349</v>
      </c>
      <c r="K77" s="18" t="n">
        <v>0.46947406</v>
      </c>
      <c r="L77" s="20" t="n">
        <v>0.56861871</v>
      </c>
      <c r="M77" s="18" t="n">
        <v>0</v>
      </c>
      <c r="N77" s="20" t="n">
        <v>0</v>
      </c>
      <c r="O77" s="18" t="n">
        <v>0</v>
      </c>
      <c r="P77" s="20" t="n">
        <v>0</v>
      </c>
      <c r="Q77" s="18" t="n">
        <v>0.30490213</v>
      </c>
      <c r="R77" s="20" t="n">
        <v>0.30756229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20.95460412</v>
      </c>
      <c r="F81" s="20" t="n">
        <v>1.89840512</v>
      </c>
      <c r="G81" s="18" t="n">
        <v>76.63637692</v>
      </c>
      <c r="H81" s="20" t="n">
        <v>1.92434229</v>
      </c>
      <c r="I81" s="18" t="s">
        <v>349</v>
      </c>
      <c r="J81" s="20" t="s">
        <v>349</v>
      </c>
      <c r="K81" s="18" t="n">
        <v>0</v>
      </c>
      <c r="L81" s="20" t="n">
        <v>0</v>
      </c>
      <c r="M81" s="18" t="n">
        <v>0</v>
      </c>
      <c r="N81" s="20" t="n">
        <v>0</v>
      </c>
      <c r="O81" s="18" t="n">
        <v>0</v>
      </c>
      <c r="P81" s="20" t="n">
        <v>0</v>
      </c>
      <c r="Q81" s="18" t="n">
        <v>2.40901896</v>
      </c>
      <c r="R81" s="20" t="n">
        <v>0.70336996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438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(6450.0/B7*100)</f>
        <v/>
      </c>
      <c r="D7" s="19" t="n">
        <v>917</v>
      </c>
      <c r="E7" s="18" t="n">
        <v>29.90288198</v>
      </c>
      <c r="F7" s="20" t="n">
        <v>1.62907315</v>
      </c>
      <c r="G7" s="18" t="n">
        <v>69.36783667</v>
      </c>
      <c r="H7" s="20" t="n">
        <v>1.62267528</v>
      </c>
      <c r="I7" s="18" t="s">
        <v>349</v>
      </c>
      <c r="J7" s="20" t="s">
        <v>349</v>
      </c>
      <c r="K7" s="18" t="n">
        <v>0.47389041</v>
      </c>
      <c r="L7" s="20" t="n">
        <v>0.26032317</v>
      </c>
      <c r="M7" s="18" t="n">
        <v>0</v>
      </c>
      <c r="N7" s="20" t="n">
        <v>0</v>
      </c>
      <c r="O7" s="18" t="n">
        <v>0</v>
      </c>
      <c r="P7" s="20" t="n">
        <v>0</v>
      </c>
      <c r="Q7" s="18" t="n">
        <v>0.25539093</v>
      </c>
      <c r="R7" s="20" t="n">
        <v>0.16453554</v>
      </c>
    </row>
    <row r="8" spans="1:18">
      <c r="A8" s="15" t="s">
        <v>350</v>
      </c>
      <c r="B8" s="17" t="n">
        <v>3564</v>
      </c>
      <c r="C8" s="18">
        <f>(3134.0/B8*100)</f>
        <v/>
      </c>
      <c r="D8" s="19" t="n">
        <v>430</v>
      </c>
      <c r="E8" s="18" t="n">
        <v>25.28979518</v>
      </c>
      <c r="F8" s="20" t="n">
        <v>2.57458601</v>
      </c>
      <c r="G8" s="18" t="n">
        <v>74.47562035999999</v>
      </c>
      <c r="H8" s="20" t="n">
        <v>2.55427644</v>
      </c>
      <c r="I8" s="18" t="s">
        <v>349</v>
      </c>
      <c r="J8" s="20" t="s">
        <v>349</v>
      </c>
      <c r="K8" s="18" t="n">
        <v>0</v>
      </c>
      <c r="L8" s="20" t="n">
        <v>0</v>
      </c>
      <c r="M8" s="18" t="n">
        <v>0</v>
      </c>
      <c r="N8" s="20" t="n">
        <v>0</v>
      </c>
      <c r="O8" s="18" t="n">
        <v>0</v>
      </c>
      <c r="P8" s="20" t="n">
        <v>0</v>
      </c>
      <c r="Q8" s="18" t="n">
        <v>0.23458447</v>
      </c>
      <c r="R8" s="20" t="n">
        <v>0.23428003</v>
      </c>
    </row>
    <row r="9" spans="1:18">
      <c r="A9" s="15" t="s">
        <v>351</v>
      </c>
      <c r="B9" s="17" t="n">
        <v>4899</v>
      </c>
      <c r="C9" s="18">
        <f>(4329.0/B9*100)</f>
        <v/>
      </c>
      <c r="D9" s="19" t="n">
        <v>570</v>
      </c>
      <c r="E9" s="18" t="n">
        <v>27.27375168</v>
      </c>
      <c r="F9" s="20" t="n">
        <v>2.04442922</v>
      </c>
      <c r="G9" s="18" t="n">
        <v>71.50636766</v>
      </c>
      <c r="H9" s="20" t="n">
        <v>2.06254233</v>
      </c>
      <c r="I9" s="18" t="s">
        <v>349</v>
      </c>
      <c r="J9" s="20" t="s">
        <v>349</v>
      </c>
      <c r="K9" s="18" t="n">
        <v>0</v>
      </c>
      <c r="L9" s="20" t="n">
        <v>0</v>
      </c>
      <c r="M9" s="18" t="n">
        <v>0</v>
      </c>
      <c r="N9" s="20" t="n">
        <v>0</v>
      </c>
      <c r="O9" s="18" t="n">
        <v>0</v>
      </c>
      <c r="P9" s="20" t="n">
        <v>0</v>
      </c>
      <c r="Q9" s="18" t="n">
        <v>1.21988066</v>
      </c>
      <c r="R9" s="20" t="n">
        <v>0.45769878</v>
      </c>
    </row>
    <row r="10" spans="1:18">
      <c r="A10" s="15" t="s">
        <v>352</v>
      </c>
      <c r="B10" s="17" t="n">
        <v>10036</v>
      </c>
      <c r="C10" s="18">
        <f>(8806.0/B10*100)</f>
        <v/>
      </c>
      <c r="D10" s="19" t="n">
        <v>1230</v>
      </c>
      <c r="E10" s="18" t="n">
        <v>29.73999065</v>
      </c>
      <c r="F10" s="20" t="n">
        <v>1.55515891</v>
      </c>
      <c r="G10" s="18" t="n">
        <v>69.9970304</v>
      </c>
      <c r="H10" s="20" t="n">
        <v>1.55110767</v>
      </c>
      <c r="I10" s="18" t="s">
        <v>349</v>
      </c>
      <c r="J10" s="20" t="s">
        <v>349</v>
      </c>
      <c r="K10" s="18" t="n">
        <v>0.14523888</v>
      </c>
      <c r="L10" s="20" t="n">
        <v>0.0950989</v>
      </c>
      <c r="M10" s="18" t="n">
        <v>0</v>
      </c>
      <c r="N10" s="20" t="n">
        <v>0</v>
      </c>
      <c r="O10" s="18" t="n">
        <v>0</v>
      </c>
      <c r="P10" s="20" t="n">
        <v>0</v>
      </c>
      <c r="Q10" s="18" t="n">
        <v>0.11774007</v>
      </c>
      <c r="R10" s="20" t="n">
        <v>0.05292796</v>
      </c>
    </row>
    <row r="11" spans="1:18">
      <c r="A11" s="15" t="s">
        <v>353</v>
      </c>
      <c r="B11" s="17" t="n">
        <v>3553</v>
      </c>
      <c r="C11" s="18">
        <f>(3117.0/B11*100)</f>
        <v/>
      </c>
      <c r="D11" s="19" t="n">
        <v>436</v>
      </c>
      <c r="E11" s="18" t="n">
        <v>41.80920965</v>
      </c>
      <c r="F11" s="20" t="n">
        <v>2.94912597</v>
      </c>
      <c r="G11" s="18" t="n">
        <v>57.37519202</v>
      </c>
      <c r="H11" s="20" t="n">
        <v>2.95208868</v>
      </c>
      <c r="I11" s="18" t="s">
        <v>349</v>
      </c>
      <c r="J11" s="20" t="s">
        <v>349</v>
      </c>
      <c r="K11" s="18" t="n">
        <v>0.29788273</v>
      </c>
      <c r="L11" s="20" t="n">
        <v>0.18540008</v>
      </c>
      <c r="M11" s="18" t="n">
        <v>0</v>
      </c>
      <c r="N11" s="20" t="n">
        <v>0</v>
      </c>
      <c r="O11" s="18" t="n">
        <v>0</v>
      </c>
      <c r="P11" s="20" t="n">
        <v>0</v>
      </c>
      <c r="Q11" s="18" t="n">
        <v>0.5177156000000001</v>
      </c>
      <c r="R11" s="20" t="n">
        <v>0.40027685</v>
      </c>
    </row>
    <row r="12" spans="1:18">
      <c r="A12" s="15" t="s">
        <v>354</v>
      </c>
      <c r="B12" s="17" t="n">
        <v>3472</v>
      </c>
      <c r="C12" s="18">
        <f>(3071.0/B12*100)</f>
        <v/>
      </c>
      <c r="D12" s="19" t="n">
        <v>401</v>
      </c>
      <c r="E12" s="18" t="n">
        <v>25.80522576</v>
      </c>
      <c r="F12" s="20" t="n">
        <v>2.63898183</v>
      </c>
      <c r="G12" s="18" t="n">
        <v>74.19477424</v>
      </c>
      <c r="H12" s="20" t="n">
        <v>2.63898183</v>
      </c>
      <c r="I12" s="18" t="s">
        <v>349</v>
      </c>
      <c r="J12" s="20" t="s">
        <v>349</v>
      </c>
      <c r="K12" s="18" t="n">
        <v>0</v>
      </c>
      <c r="L12" s="20" t="n">
        <v>0</v>
      </c>
      <c r="M12" s="18" t="n">
        <v>0</v>
      </c>
      <c r="N12" s="20" t="n">
        <v>0</v>
      </c>
      <c r="O12" s="18" t="n">
        <v>0</v>
      </c>
      <c r="P12" s="20" t="n">
        <v>0</v>
      </c>
      <c r="Q12" s="18" t="n">
        <v>0</v>
      </c>
      <c r="R12" s="20" t="n">
        <v>0</v>
      </c>
    </row>
    <row r="13" spans="1:18">
      <c r="A13" s="15" t="s">
        <v>355</v>
      </c>
      <c r="B13" s="17" t="n">
        <v>3559</v>
      </c>
      <c r="C13" s="18">
        <f>(3137.0/B13*100)</f>
        <v/>
      </c>
      <c r="D13" s="19" t="n">
        <v>422</v>
      </c>
      <c r="E13" s="18" t="n">
        <v>26.47007675</v>
      </c>
      <c r="F13" s="20" t="n">
        <v>2.45943247</v>
      </c>
      <c r="G13" s="18" t="n">
        <v>72.55953164</v>
      </c>
      <c r="H13" s="20" t="n">
        <v>2.47157511</v>
      </c>
      <c r="I13" s="18" t="s">
        <v>349</v>
      </c>
      <c r="J13" s="20" t="s">
        <v>349</v>
      </c>
      <c r="K13" s="18" t="n">
        <v>0.44346256</v>
      </c>
      <c r="L13" s="20" t="n">
        <v>0.3364682</v>
      </c>
      <c r="M13" s="18" t="n">
        <v>0</v>
      </c>
      <c r="N13" s="20" t="n">
        <v>0</v>
      </c>
      <c r="O13" s="18" t="n">
        <v>0</v>
      </c>
      <c r="P13" s="20" t="n">
        <v>0</v>
      </c>
      <c r="Q13" s="18" t="n">
        <v>0.52692905</v>
      </c>
      <c r="R13" s="20" t="n">
        <v>0.50162038</v>
      </c>
    </row>
    <row r="14" spans="1:18">
      <c r="A14" s="15" t="s">
        <v>356</v>
      </c>
      <c r="B14" s="17" t="n">
        <v>2799</v>
      </c>
      <c r="C14" s="18">
        <f>(2455.0/B14*100)</f>
        <v/>
      </c>
      <c r="D14" s="19" t="n">
        <v>344</v>
      </c>
      <c r="E14" s="18" t="n">
        <v>19.87414274</v>
      </c>
      <c r="F14" s="20" t="n">
        <v>2.18006946</v>
      </c>
      <c r="G14" s="18" t="n">
        <v>79.92041926</v>
      </c>
      <c r="H14" s="20" t="n">
        <v>2.21429792</v>
      </c>
      <c r="I14" s="18" t="s">
        <v>349</v>
      </c>
      <c r="J14" s="20" t="s">
        <v>349</v>
      </c>
      <c r="K14" s="18" t="n">
        <v>0</v>
      </c>
      <c r="L14" s="20" t="n">
        <v>0</v>
      </c>
      <c r="M14" s="18" t="n">
        <v>0</v>
      </c>
      <c r="N14" s="20" t="n">
        <v>0</v>
      </c>
      <c r="O14" s="18" t="n">
        <v>0</v>
      </c>
      <c r="P14" s="20" t="n">
        <v>0</v>
      </c>
      <c r="Q14" s="18" t="n">
        <v>0.205438</v>
      </c>
      <c r="R14" s="20" t="n">
        <v>0.20860195</v>
      </c>
    </row>
    <row r="15" spans="1:18">
      <c r="A15" s="15" t="s">
        <v>357</v>
      </c>
      <c r="B15" s="17" t="n">
        <v>3019</v>
      </c>
      <c r="C15" s="18">
        <f>(2663.0/B15*100)</f>
        <v/>
      </c>
      <c r="D15" s="19" t="n">
        <v>356</v>
      </c>
      <c r="E15" s="18" t="n">
        <v>19.75155128</v>
      </c>
      <c r="F15" s="20" t="n">
        <v>2.00399645</v>
      </c>
      <c r="G15" s="18" t="n">
        <v>79.68232082</v>
      </c>
      <c r="H15" s="20" t="n">
        <v>2.00319956</v>
      </c>
      <c r="I15" s="18" t="s">
        <v>349</v>
      </c>
      <c r="J15" s="20" t="s">
        <v>349</v>
      </c>
      <c r="K15" s="18" t="n">
        <v>0</v>
      </c>
      <c r="L15" s="20" t="n">
        <v>0</v>
      </c>
      <c r="M15" s="18" t="n">
        <v>0</v>
      </c>
      <c r="N15" s="20" t="n">
        <v>0</v>
      </c>
      <c r="O15" s="18" t="n">
        <v>0</v>
      </c>
      <c r="P15" s="20" t="n">
        <v>0</v>
      </c>
      <c r="Q15" s="18" t="n">
        <v>0.5661279</v>
      </c>
      <c r="R15" s="20" t="n">
        <v>0.40003385</v>
      </c>
    </row>
    <row r="16" spans="1:18">
      <c r="A16" s="15" t="s">
        <v>358</v>
      </c>
      <c r="B16" s="17" t="n">
        <v>2997</v>
      </c>
      <c r="C16" s="18">
        <f>(2611.0/B16*100)</f>
        <v/>
      </c>
      <c r="D16" s="19" t="n">
        <v>386</v>
      </c>
      <c r="E16" s="18" t="n">
        <v>31.26943685</v>
      </c>
      <c r="F16" s="20" t="n">
        <v>2.3502411</v>
      </c>
      <c r="G16" s="18" t="n">
        <v>68.21029267</v>
      </c>
      <c r="H16" s="20" t="n">
        <v>2.27974843</v>
      </c>
      <c r="I16" s="18" t="s">
        <v>349</v>
      </c>
      <c r="J16" s="20" t="s">
        <v>349</v>
      </c>
      <c r="K16" s="18" t="n">
        <v>0</v>
      </c>
      <c r="L16" s="20" t="n">
        <v>0</v>
      </c>
      <c r="M16" s="18" t="n">
        <v>0</v>
      </c>
      <c r="N16" s="20" t="n">
        <v>0</v>
      </c>
      <c r="O16" s="18" t="n">
        <v>0</v>
      </c>
      <c r="P16" s="20" t="n">
        <v>0</v>
      </c>
      <c r="Q16" s="18" t="n">
        <v>0.52027048</v>
      </c>
      <c r="R16" s="20" t="n">
        <v>0.371482</v>
      </c>
    </row>
    <row r="17" spans="1:18">
      <c r="A17" s="15" t="s">
        <v>359</v>
      </c>
      <c r="B17" s="17" t="n">
        <v>3307</v>
      </c>
      <c r="C17" s="18">
        <f>(2909.0/B17*100)</f>
        <v/>
      </c>
      <c r="D17" s="19" t="n">
        <v>398</v>
      </c>
      <c r="E17" s="18" t="n">
        <v>25.35660859</v>
      </c>
      <c r="F17" s="20" t="n">
        <v>2.36762642</v>
      </c>
      <c r="G17" s="18" t="n">
        <v>73.74745822</v>
      </c>
      <c r="H17" s="20" t="n">
        <v>2.44330106</v>
      </c>
      <c r="I17" s="18" t="s">
        <v>349</v>
      </c>
      <c r="J17" s="20" t="s">
        <v>349</v>
      </c>
      <c r="K17" s="18" t="n">
        <v>0</v>
      </c>
      <c r="L17" s="20" t="n">
        <v>0</v>
      </c>
      <c r="M17" s="18" t="n">
        <v>0</v>
      </c>
      <c r="N17" s="20" t="n">
        <v>0</v>
      </c>
      <c r="O17" s="18" t="n">
        <v>0</v>
      </c>
      <c r="P17" s="20" t="n">
        <v>0</v>
      </c>
      <c r="Q17" s="18" t="n">
        <v>0.8959332</v>
      </c>
      <c r="R17" s="20" t="n">
        <v>0.49835522</v>
      </c>
    </row>
    <row r="18" spans="1:18">
      <c r="A18" s="15" t="s">
        <v>360</v>
      </c>
      <c r="B18" s="17" t="n">
        <v>2826</v>
      </c>
      <c r="C18" s="18">
        <f>(2478.0/B18*100)</f>
        <v/>
      </c>
      <c r="D18" s="19" t="n">
        <v>348</v>
      </c>
      <c r="E18" s="18" t="n">
        <v>34.1539181</v>
      </c>
      <c r="F18" s="20" t="n">
        <v>3.207619</v>
      </c>
      <c r="G18" s="18" t="n">
        <v>65.35274367</v>
      </c>
      <c r="H18" s="20" t="n">
        <v>3.13732077</v>
      </c>
      <c r="I18" s="18" t="s">
        <v>349</v>
      </c>
      <c r="J18" s="20" t="s">
        <v>349</v>
      </c>
      <c r="K18" s="18" t="n">
        <v>0.29449739</v>
      </c>
      <c r="L18" s="20" t="n">
        <v>0.29595881</v>
      </c>
      <c r="M18" s="18" t="n">
        <v>0</v>
      </c>
      <c r="N18" s="20" t="n">
        <v>0</v>
      </c>
      <c r="O18" s="18" t="n">
        <v>0</v>
      </c>
      <c r="P18" s="20" t="n">
        <v>0</v>
      </c>
      <c r="Q18" s="18" t="n">
        <v>0.19884083</v>
      </c>
      <c r="R18" s="20" t="n">
        <v>0.2002303</v>
      </c>
    </row>
    <row r="19" spans="1:18">
      <c r="A19" s="15" t="s">
        <v>361</v>
      </c>
      <c r="B19" s="17" t="n">
        <v>2808</v>
      </c>
      <c r="C19" s="18">
        <f>(2472.0/B19*100)</f>
        <v/>
      </c>
      <c r="D19" s="19" t="n">
        <v>336</v>
      </c>
      <c r="E19" s="18" t="n">
        <v>25.80800606</v>
      </c>
      <c r="F19" s="20" t="n">
        <v>2.67071108</v>
      </c>
      <c r="G19" s="18" t="n">
        <v>73.64981057999999</v>
      </c>
      <c r="H19" s="20" t="n">
        <v>2.6626474</v>
      </c>
      <c r="I19" s="18" t="s">
        <v>349</v>
      </c>
      <c r="J19" s="20" t="s">
        <v>349</v>
      </c>
      <c r="K19" s="18" t="n">
        <v>0</v>
      </c>
      <c r="L19" s="20" t="n">
        <v>0</v>
      </c>
      <c r="M19" s="18" t="n">
        <v>0</v>
      </c>
      <c r="N19" s="20" t="n">
        <v>0</v>
      </c>
      <c r="O19" s="18" t="n">
        <v>0</v>
      </c>
      <c r="P19" s="20" t="n">
        <v>0</v>
      </c>
      <c r="Q19" s="18" t="n">
        <v>0.54218336</v>
      </c>
      <c r="R19" s="20" t="n">
        <v>0.38839617</v>
      </c>
    </row>
    <row r="20" spans="1:18">
      <c r="A20" s="15" t="s">
        <v>362</v>
      </c>
      <c r="B20" s="17" t="n">
        <v>1630</v>
      </c>
      <c r="C20" s="18">
        <f>(1422.0/B20*100)</f>
        <v/>
      </c>
      <c r="D20" s="19" t="n">
        <v>208</v>
      </c>
      <c r="E20" s="18" t="n">
        <v>28.05276625</v>
      </c>
      <c r="F20" s="20" t="n">
        <v>2.84536801</v>
      </c>
      <c r="G20" s="18" t="n">
        <v>70.47835847</v>
      </c>
      <c r="H20" s="20" t="n">
        <v>2.78033822</v>
      </c>
      <c r="I20" s="18" t="s">
        <v>349</v>
      </c>
      <c r="J20" s="20" t="s">
        <v>349</v>
      </c>
      <c r="K20" s="18" t="n">
        <v>0.47361724</v>
      </c>
      <c r="L20" s="20" t="n">
        <v>0.48567141</v>
      </c>
      <c r="M20" s="18" t="n">
        <v>0</v>
      </c>
      <c r="N20" s="20" t="n">
        <v>0</v>
      </c>
      <c r="O20" s="18" t="n">
        <v>0</v>
      </c>
      <c r="P20" s="20" t="n">
        <v>0</v>
      </c>
      <c r="Q20" s="18" t="n">
        <v>0.99525804</v>
      </c>
      <c r="R20" s="20" t="n">
        <v>0.68423293</v>
      </c>
    </row>
    <row r="21" spans="1:18">
      <c r="A21" s="15" t="s">
        <v>363</v>
      </c>
      <c r="B21" s="17" t="n">
        <v>2908</v>
      </c>
      <c r="C21" s="18">
        <f>(2436.0/B21*100)</f>
        <v/>
      </c>
      <c r="D21" s="19" t="n">
        <v>472</v>
      </c>
      <c r="E21" s="18" t="n">
        <v>35.14179632</v>
      </c>
      <c r="F21" s="20" t="n">
        <v>2.38101193</v>
      </c>
      <c r="G21" s="18" t="n">
        <v>64.42134584</v>
      </c>
      <c r="H21" s="20" t="n">
        <v>2.38228368</v>
      </c>
      <c r="I21" s="18" t="s">
        <v>349</v>
      </c>
      <c r="J21" s="20" t="s">
        <v>349</v>
      </c>
      <c r="K21" s="18" t="n">
        <v>0.16771006</v>
      </c>
      <c r="L21" s="20" t="n">
        <v>0.16855019</v>
      </c>
      <c r="M21" s="18" t="n">
        <v>0</v>
      </c>
      <c r="N21" s="20" t="n">
        <v>0</v>
      </c>
      <c r="O21" s="18" t="n">
        <v>0</v>
      </c>
      <c r="P21" s="20" t="n">
        <v>0</v>
      </c>
      <c r="Q21" s="18" t="n">
        <v>0.26914779</v>
      </c>
      <c r="R21" s="20" t="n">
        <v>0.24674801</v>
      </c>
    </row>
    <row r="22" spans="1:18">
      <c r="A22" s="15" t="s">
        <v>364</v>
      </c>
      <c r="B22" s="17" t="n">
        <v>2931</v>
      </c>
      <c r="C22" s="18">
        <f>(2573.0/B22*100)</f>
        <v/>
      </c>
      <c r="D22" s="19" t="n">
        <v>358</v>
      </c>
      <c r="E22" s="18" t="n">
        <v>45.94905645</v>
      </c>
      <c r="F22" s="20" t="n">
        <v>2.94422525</v>
      </c>
      <c r="G22" s="18" t="n">
        <v>53.62855338</v>
      </c>
      <c r="H22" s="20" t="n">
        <v>2.95602463</v>
      </c>
      <c r="I22" s="18" t="s">
        <v>349</v>
      </c>
      <c r="J22" s="20" t="s">
        <v>349</v>
      </c>
      <c r="K22" s="18" t="n">
        <v>0.22171277</v>
      </c>
      <c r="L22" s="20" t="n">
        <v>0.22118187</v>
      </c>
      <c r="M22" s="18" t="n">
        <v>0</v>
      </c>
      <c r="N22" s="20" t="n">
        <v>0</v>
      </c>
      <c r="O22" s="18" t="n">
        <v>0</v>
      </c>
      <c r="P22" s="20" t="n">
        <v>0</v>
      </c>
      <c r="Q22" s="18" t="n">
        <v>0.2006774</v>
      </c>
      <c r="R22" s="20" t="n">
        <v>0.20101323</v>
      </c>
    </row>
    <row r="23" spans="1:18">
      <c r="A23" s="15" t="s">
        <v>365</v>
      </c>
      <c r="B23" s="17" t="n">
        <v>5791</v>
      </c>
      <c r="C23" s="18">
        <f>(5102.0/B23*100)</f>
        <v/>
      </c>
      <c r="D23" s="19" t="n">
        <v>689</v>
      </c>
      <c r="E23" s="18" t="n">
        <v>23.09254768</v>
      </c>
      <c r="F23" s="20" t="n">
        <v>2.31020946</v>
      </c>
      <c r="G23" s="18" t="n">
        <v>76.35354309</v>
      </c>
      <c r="H23" s="20" t="n">
        <v>2.36969436</v>
      </c>
      <c r="I23" s="18" t="s">
        <v>349</v>
      </c>
      <c r="J23" s="20" t="s">
        <v>349</v>
      </c>
      <c r="K23" s="18" t="n">
        <v>0</v>
      </c>
      <c r="L23" s="20" t="n">
        <v>0</v>
      </c>
      <c r="M23" s="18" t="n">
        <v>0</v>
      </c>
      <c r="N23" s="20" t="n">
        <v>0</v>
      </c>
      <c r="O23" s="18" t="n">
        <v>0</v>
      </c>
      <c r="P23" s="20" t="n">
        <v>0</v>
      </c>
      <c r="Q23" s="18" t="n">
        <v>0.55390922</v>
      </c>
      <c r="R23" s="20" t="n">
        <v>0.47033002</v>
      </c>
    </row>
    <row r="24" spans="1:18">
      <c r="A24" s="15" t="s">
        <v>366</v>
      </c>
      <c r="B24" s="17" t="n">
        <v>3338</v>
      </c>
      <c r="C24" s="18">
        <f>(2932.0/B24*100)</f>
        <v/>
      </c>
      <c r="D24" s="19" t="n">
        <v>406</v>
      </c>
      <c r="E24" s="18" t="n">
        <v>16.76582815</v>
      </c>
      <c r="F24" s="20" t="n">
        <v>1.53374969</v>
      </c>
      <c r="G24" s="18" t="n">
        <v>82.72351462</v>
      </c>
      <c r="H24" s="20" t="n">
        <v>1.57747745</v>
      </c>
      <c r="I24" s="18" t="s">
        <v>349</v>
      </c>
      <c r="J24" s="20" t="s">
        <v>349</v>
      </c>
      <c r="K24" s="18" t="n">
        <v>0.25697316</v>
      </c>
      <c r="L24" s="20" t="n">
        <v>0.24767244</v>
      </c>
      <c r="M24" s="18" t="n">
        <v>0</v>
      </c>
      <c r="N24" s="20" t="n">
        <v>0</v>
      </c>
      <c r="O24" s="18" t="n">
        <v>0</v>
      </c>
      <c r="P24" s="20" t="n">
        <v>0</v>
      </c>
      <c r="Q24" s="18" t="n">
        <v>0.25368407</v>
      </c>
      <c r="R24" s="20" t="n">
        <v>0.24420056</v>
      </c>
    </row>
    <row r="25" spans="1:18">
      <c r="A25" s="15" t="s">
        <v>367</v>
      </c>
      <c r="B25" s="17" t="n">
        <v>2912</v>
      </c>
      <c r="C25" s="18">
        <f>(2547.0/B25*100)</f>
        <v/>
      </c>
      <c r="D25" s="19" t="n">
        <v>365</v>
      </c>
      <c r="E25" s="18" t="n">
        <v>21.63514206</v>
      </c>
      <c r="F25" s="20" t="n">
        <v>1.99203548</v>
      </c>
      <c r="G25" s="18" t="n">
        <v>78.06214858</v>
      </c>
      <c r="H25" s="20" t="n">
        <v>2.02721503</v>
      </c>
      <c r="I25" s="18" t="s">
        <v>349</v>
      </c>
      <c r="J25" s="20" t="s">
        <v>349</v>
      </c>
      <c r="K25" s="18" t="n">
        <v>0</v>
      </c>
      <c r="L25" s="20" t="n">
        <v>0</v>
      </c>
      <c r="M25" s="18" t="n">
        <v>0</v>
      </c>
      <c r="N25" s="20" t="n">
        <v>0</v>
      </c>
      <c r="O25" s="18" t="n">
        <v>0</v>
      </c>
      <c r="P25" s="20" t="n">
        <v>0</v>
      </c>
      <c r="Q25" s="18" t="n">
        <v>0.30270936</v>
      </c>
      <c r="R25" s="20" t="n">
        <v>0.30423763</v>
      </c>
    </row>
    <row r="26" spans="1:18">
      <c r="A26" s="15" t="s">
        <v>368</v>
      </c>
      <c r="B26" s="17" t="n">
        <v>2450</v>
      </c>
      <c r="C26" s="18">
        <f>(2161.0/B26*100)</f>
        <v/>
      </c>
      <c r="D26" s="19" t="n">
        <v>289</v>
      </c>
      <c r="E26" s="18" t="n">
        <v>27.08380812</v>
      </c>
      <c r="F26" s="20" t="n">
        <v>3.09411566</v>
      </c>
      <c r="G26" s="18" t="n">
        <v>72.91619188</v>
      </c>
      <c r="H26" s="20" t="n">
        <v>3.09411566</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(2300.0/B27*100)</f>
        <v/>
      </c>
      <c r="D27" s="19" t="n">
        <v>316</v>
      </c>
      <c r="E27" s="18" t="n">
        <v>30.61990463</v>
      </c>
      <c r="F27" s="20" t="n">
        <v>2.42152241</v>
      </c>
      <c r="G27" s="18" t="n">
        <v>68.39913614</v>
      </c>
      <c r="H27" s="20" t="n">
        <v>2.47324576</v>
      </c>
      <c r="I27" s="18" t="s">
        <v>349</v>
      </c>
      <c r="J27" s="20" t="s">
        <v>349</v>
      </c>
      <c r="K27" s="18" t="n">
        <v>0</v>
      </c>
      <c r="L27" s="20" t="n">
        <v>0</v>
      </c>
      <c r="M27" s="18" t="n">
        <v>0</v>
      </c>
      <c r="N27" s="20" t="n">
        <v>0</v>
      </c>
      <c r="O27" s="18" t="n">
        <v>0</v>
      </c>
      <c r="P27" s="20" t="n">
        <v>0</v>
      </c>
      <c r="Q27" s="18" t="n">
        <v>0.98095923</v>
      </c>
      <c r="R27" s="20" t="n">
        <v>0.55944054</v>
      </c>
    </row>
    <row r="28" spans="1:18">
      <c r="A28" s="15" t="s">
        <v>370</v>
      </c>
      <c r="B28" s="17" t="n">
        <v>3765</v>
      </c>
      <c r="C28" s="18">
        <f>(3318.0/B28*100)</f>
        <v/>
      </c>
      <c r="D28" s="19" t="n">
        <v>447</v>
      </c>
      <c r="E28" s="18" t="n">
        <v>46.0133873</v>
      </c>
      <c r="F28" s="20" t="n">
        <v>2.00186742</v>
      </c>
      <c r="G28" s="18" t="n">
        <v>53.08380699</v>
      </c>
      <c r="H28" s="20" t="n">
        <v>2.10836083</v>
      </c>
      <c r="I28" s="18" t="s">
        <v>349</v>
      </c>
      <c r="J28" s="20" t="s">
        <v>349</v>
      </c>
      <c r="K28" s="18" t="n">
        <v>0</v>
      </c>
      <c r="L28" s="20" t="n">
        <v>0</v>
      </c>
      <c r="M28" s="18" t="n">
        <v>0</v>
      </c>
      <c r="N28" s="20" t="n">
        <v>0</v>
      </c>
      <c r="O28" s="18" t="n">
        <v>0</v>
      </c>
      <c r="P28" s="20" t="n">
        <v>0</v>
      </c>
      <c r="Q28" s="18" t="n">
        <v>0.90280571</v>
      </c>
      <c r="R28" s="20" t="n">
        <v>0.64043155</v>
      </c>
    </row>
    <row r="29" spans="1:18">
      <c r="A29" s="15" t="s">
        <v>371</v>
      </c>
      <c r="B29" s="17" t="n">
        <v>2685</v>
      </c>
      <c r="C29" s="18">
        <f>(2356.0/B29*100)</f>
        <v/>
      </c>
      <c r="D29" s="19" t="n">
        <v>329</v>
      </c>
      <c r="E29" s="18" t="n">
        <v>33.7958089</v>
      </c>
      <c r="F29" s="20" t="n">
        <v>2.62781263</v>
      </c>
      <c r="G29" s="18" t="n">
        <v>65.46791048</v>
      </c>
      <c r="H29" s="20" t="n">
        <v>2.66771547</v>
      </c>
      <c r="I29" s="18" t="s">
        <v>349</v>
      </c>
      <c r="J29" s="20" t="s">
        <v>349</v>
      </c>
      <c r="K29" s="18" t="n">
        <v>0.46539438</v>
      </c>
      <c r="L29" s="20" t="n">
        <v>0.41612175</v>
      </c>
      <c r="M29" s="18" t="n">
        <v>0</v>
      </c>
      <c r="N29" s="20" t="n">
        <v>0</v>
      </c>
      <c r="O29" s="18" t="n">
        <v>0</v>
      </c>
      <c r="P29" s="20" t="n">
        <v>0</v>
      </c>
      <c r="Q29" s="18" t="n">
        <v>0.27088624</v>
      </c>
      <c r="R29" s="20" t="n">
        <v>0.27257043</v>
      </c>
    </row>
    <row r="30" spans="1:18">
      <c r="A30" s="15" t="s">
        <v>372</v>
      </c>
      <c r="B30" s="17" t="n">
        <v>2263</v>
      </c>
      <c r="C30" s="18">
        <f>(1986.0/B30*100)</f>
        <v/>
      </c>
      <c r="D30" s="19" t="n">
        <v>277</v>
      </c>
      <c r="E30" s="18" t="n">
        <v>24.73656626</v>
      </c>
      <c r="F30" s="20" t="n">
        <v>2.65779676</v>
      </c>
      <c r="G30" s="18" t="n">
        <v>75.0396532</v>
      </c>
      <c r="H30" s="20" t="n">
        <v>2.67678458</v>
      </c>
      <c r="I30" s="18" t="s">
        <v>349</v>
      </c>
      <c r="J30" s="20" t="s">
        <v>349</v>
      </c>
      <c r="K30" s="18" t="n">
        <v>0.22378054</v>
      </c>
      <c r="L30" s="20" t="n">
        <v>0.22544975</v>
      </c>
      <c r="M30" s="18" t="n">
        <v>0</v>
      </c>
      <c r="N30" s="20" t="n">
        <v>0</v>
      </c>
      <c r="O30" s="18" t="n">
        <v>0</v>
      </c>
      <c r="P30" s="20" t="n">
        <v>0</v>
      </c>
      <c r="Q30" s="18" t="n">
        <v>0</v>
      </c>
      <c r="R30" s="20" t="n">
        <v>0</v>
      </c>
    </row>
    <row r="31" spans="1:18">
      <c r="A31" s="15" t="s">
        <v>373</v>
      </c>
      <c r="B31" s="17" t="n">
        <v>2750</v>
      </c>
      <c r="C31" s="18">
        <f>(2390.0/B31*100)</f>
        <v/>
      </c>
      <c r="D31" s="19" t="n">
        <v>360</v>
      </c>
      <c r="E31" s="18" t="n">
        <v>28.27045262</v>
      </c>
      <c r="F31" s="20" t="n">
        <v>2.28930153</v>
      </c>
      <c r="G31" s="18" t="n">
        <v>70.34289479</v>
      </c>
      <c r="H31" s="20" t="n">
        <v>2.36238958</v>
      </c>
      <c r="I31" s="18" t="s">
        <v>349</v>
      </c>
      <c r="J31" s="20" t="s">
        <v>349</v>
      </c>
      <c r="K31" s="18" t="n">
        <v>0</v>
      </c>
      <c r="L31" s="20" t="n">
        <v>0</v>
      </c>
      <c r="M31" s="18" t="n">
        <v>0</v>
      </c>
      <c r="N31" s="20" t="n">
        <v>0</v>
      </c>
      <c r="O31" s="18" t="n">
        <v>0</v>
      </c>
      <c r="P31" s="20" t="n">
        <v>0</v>
      </c>
      <c r="Q31" s="18" t="n">
        <v>1.3866526</v>
      </c>
      <c r="R31" s="20" t="n">
        <v>0.64815016</v>
      </c>
    </row>
    <row r="32" spans="1:18">
      <c r="A32" s="15" t="s">
        <v>374</v>
      </c>
      <c r="B32" s="17" t="n">
        <v>2269</v>
      </c>
      <c r="C32" s="18">
        <f>(1900.0/B32*100)</f>
        <v/>
      </c>
      <c r="D32" s="19" t="n">
        <v>369</v>
      </c>
      <c r="E32" s="18" t="n">
        <v>21.04133742</v>
      </c>
      <c r="F32" s="20" t="n">
        <v>2.25464152</v>
      </c>
      <c r="G32" s="18" t="n">
        <v>78.71607698</v>
      </c>
      <c r="H32" s="20" t="n">
        <v>2.27309381</v>
      </c>
      <c r="I32" s="18" t="s">
        <v>349</v>
      </c>
      <c r="J32" s="20" t="s">
        <v>349</v>
      </c>
      <c r="K32" s="18" t="n">
        <v>0</v>
      </c>
      <c r="L32" s="20" t="n">
        <v>0</v>
      </c>
      <c r="M32" s="18" t="n">
        <v>0</v>
      </c>
      <c r="N32" s="20" t="n">
        <v>0</v>
      </c>
      <c r="O32" s="18" t="n">
        <v>0</v>
      </c>
      <c r="P32" s="20" t="n">
        <v>0</v>
      </c>
      <c r="Q32" s="18" t="n">
        <v>0.24258561</v>
      </c>
      <c r="R32" s="20" t="n">
        <v>0.24372471</v>
      </c>
    </row>
    <row r="33" spans="1:18">
      <c r="A33" s="15" t="s">
        <v>375</v>
      </c>
      <c r="B33" s="17" t="n">
        <v>3674</v>
      </c>
      <c r="C33" s="18">
        <f>(3205.0/B33*100)</f>
        <v/>
      </c>
      <c r="D33" s="19" t="n">
        <v>469</v>
      </c>
      <c r="E33" s="18" t="n">
        <v>27.34222291</v>
      </c>
      <c r="F33" s="20" t="n">
        <v>2.41303197</v>
      </c>
      <c r="G33" s="18" t="n">
        <v>71.23776445</v>
      </c>
      <c r="H33" s="20" t="n">
        <v>2.33412606</v>
      </c>
      <c r="I33" s="18" t="s">
        <v>349</v>
      </c>
      <c r="J33" s="20" t="s">
        <v>349</v>
      </c>
      <c r="K33" s="18" t="n">
        <v>0.33359582</v>
      </c>
      <c r="L33" s="20" t="n">
        <v>0.28230946</v>
      </c>
      <c r="M33" s="18" t="n">
        <v>0</v>
      </c>
      <c r="N33" s="20" t="n">
        <v>0</v>
      </c>
      <c r="O33" s="18" t="n">
        <v>0</v>
      </c>
      <c r="P33" s="20" t="n">
        <v>0</v>
      </c>
      <c r="Q33" s="18" t="n">
        <v>1.08641682</v>
      </c>
      <c r="R33" s="20" t="n">
        <v>0.65681888</v>
      </c>
    </row>
    <row r="34" spans="1:18">
      <c r="A34" s="15" t="s">
        <v>376</v>
      </c>
      <c r="B34" s="17" t="n">
        <v>3315</v>
      </c>
      <c r="C34" s="18">
        <f>(2904.0/B34*100)</f>
        <v/>
      </c>
      <c r="D34" s="19" t="n">
        <v>411</v>
      </c>
      <c r="E34" s="18" t="n">
        <v>27.69580902</v>
      </c>
      <c r="F34" s="20" t="n">
        <v>2.23050184</v>
      </c>
      <c r="G34" s="18" t="n">
        <v>71.76863369</v>
      </c>
      <c r="H34" s="20" t="n">
        <v>2.3331996</v>
      </c>
      <c r="I34" s="18" t="s">
        <v>349</v>
      </c>
      <c r="J34" s="20" t="s">
        <v>349</v>
      </c>
      <c r="K34" s="18" t="n">
        <v>0.36410818</v>
      </c>
      <c r="L34" s="20" t="n">
        <v>0.35984107</v>
      </c>
      <c r="M34" s="18" t="n">
        <v>0</v>
      </c>
      <c r="N34" s="20" t="n">
        <v>0</v>
      </c>
      <c r="O34" s="18" t="n">
        <v>0</v>
      </c>
      <c r="P34" s="20" t="n">
        <v>0</v>
      </c>
      <c r="Q34" s="18" t="n">
        <v>0.17144911</v>
      </c>
      <c r="R34" s="20" t="n">
        <v>0.17147094</v>
      </c>
    </row>
    <row r="35" spans="1:18">
      <c r="A35" s="15" t="s">
        <v>377</v>
      </c>
      <c r="B35" s="17" t="n">
        <v>3505</v>
      </c>
      <c r="C35" s="18">
        <f>(3092.0/B35*100)</f>
        <v/>
      </c>
      <c r="D35" s="19" t="n">
        <v>413</v>
      </c>
      <c r="E35" s="18" t="n">
        <v>26.64557812</v>
      </c>
      <c r="F35" s="20" t="n">
        <v>2.57227713</v>
      </c>
      <c r="G35" s="18" t="n">
        <v>73.35442188</v>
      </c>
      <c r="H35" s="20" t="n">
        <v>2.57227713</v>
      </c>
      <c r="I35" s="18" t="s">
        <v>349</v>
      </c>
      <c r="J35" s="20" t="s">
        <v>349</v>
      </c>
      <c r="K35" s="18" t="n">
        <v>0</v>
      </c>
      <c r="L35" s="20" t="n">
        <v>0</v>
      </c>
      <c r="M35" s="18" t="n">
        <v>0</v>
      </c>
      <c r="N35" s="20" t="n">
        <v>0</v>
      </c>
      <c r="O35" s="18" t="n">
        <v>0</v>
      </c>
      <c r="P35" s="20" t="n">
        <v>0</v>
      </c>
      <c r="Q35" s="18" t="n">
        <v>0</v>
      </c>
      <c r="R35" s="20" t="n">
        <v>0</v>
      </c>
    </row>
    <row r="36" spans="1:18">
      <c r="A36" s="15" t="s">
        <v>378</v>
      </c>
      <c r="B36" s="17" t="n">
        <v>3332</v>
      </c>
      <c r="C36" s="18">
        <f>(2922.0/B36*100)</f>
        <v/>
      </c>
      <c r="D36" s="19" t="n">
        <v>410</v>
      </c>
      <c r="E36" s="18" t="n">
        <v>31.36925646</v>
      </c>
      <c r="F36" s="20" t="n">
        <v>2.07133397</v>
      </c>
      <c r="G36" s="18" t="n">
        <v>67.63928201</v>
      </c>
      <c r="H36" s="20" t="n">
        <v>2.196663</v>
      </c>
      <c r="I36" s="18" t="s">
        <v>349</v>
      </c>
      <c r="J36" s="20" t="s">
        <v>349</v>
      </c>
      <c r="K36" s="18" t="n">
        <v>0.29543863</v>
      </c>
      <c r="L36" s="20" t="n">
        <v>0.29028561</v>
      </c>
      <c r="M36" s="18" t="n">
        <v>0</v>
      </c>
      <c r="N36" s="20" t="n">
        <v>0</v>
      </c>
      <c r="O36" s="18" t="n">
        <v>0</v>
      </c>
      <c r="P36" s="20" t="n">
        <v>0</v>
      </c>
      <c r="Q36" s="18" t="n">
        <v>0.6960228899999999</v>
      </c>
      <c r="R36" s="20" t="n">
        <v>0.4760502</v>
      </c>
    </row>
    <row r="37" spans="1:18">
      <c r="A37" s="15" t="s">
        <v>379</v>
      </c>
      <c r="B37" s="17" t="n">
        <v>2727</v>
      </c>
      <c r="C37" s="18">
        <f>(2417.0/B37*100)</f>
        <v/>
      </c>
      <c r="D37" s="19" t="n">
        <v>310</v>
      </c>
      <c r="E37" s="18" t="n">
        <v>26.46128797</v>
      </c>
      <c r="F37" s="20" t="n">
        <v>2.51687027</v>
      </c>
      <c r="G37" s="18" t="n">
        <v>72.34365689000001</v>
      </c>
      <c r="H37" s="20" t="n">
        <v>2.45510976</v>
      </c>
      <c r="I37" s="18" t="s">
        <v>349</v>
      </c>
      <c r="J37" s="20" t="s">
        <v>349</v>
      </c>
      <c r="K37" s="18" t="n">
        <v>0</v>
      </c>
      <c r="L37" s="20" t="n">
        <v>0</v>
      </c>
      <c r="M37" s="18" t="n">
        <v>0</v>
      </c>
      <c r="N37" s="20" t="n">
        <v>0</v>
      </c>
      <c r="O37" s="18" t="n">
        <v>0</v>
      </c>
      <c r="P37" s="20" t="n">
        <v>0</v>
      </c>
      <c r="Q37" s="18" t="n">
        <v>1.19505513</v>
      </c>
      <c r="R37" s="20" t="n">
        <v>0.58370072</v>
      </c>
    </row>
    <row r="38" spans="1:18">
      <c r="A38" s="15" t="s">
        <v>380</v>
      </c>
      <c r="B38" s="17" t="n">
        <v>3053</v>
      </c>
      <c r="C38" s="18">
        <f>(2553.0/B38*100)</f>
        <v/>
      </c>
      <c r="D38" s="19" t="n">
        <v>500</v>
      </c>
      <c r="E38" s="18" t="n">
        <v>27.56658868</v>
      </c>
      <c r="F38" s="20" t="n">
        <v>2.25006559</v>
      </c>
      <c r="G38" s="18" t="n">
        <v>71.33334563</v>
      </c>
      <c r="H38" s="20" t="n">
        <v>2.30547717</v>
      </c>
      <c r="I38" s="18" t="s">
        <v>349</v>
      </c>
      <c r="J38" s="20" t="s">
        <v>349</v>
      </c>
      <c r="K38" s="18" t="n">
        <v>0</v>
      </c>
      <c r="L38" s="20" t="n">
        <v>0</v>
      </c>
      <c r="M38" s="18" t="n">
        <v>0</v>
      </c>
      <c r="N38" s="20" t="n">
        <v>0</v>
      </c>
      <c r="O38" s="18" t="n">
        <v>0</v>
      </c>
      <c r="P38" s="20" t="n">
        <v>0</v>
      </c>
      <c r="Q38" s="18" t="n">
        <v>1.10006569</v>
      </c>
      <c r="R38" s="20" t="n">
        <v>0.56945249</v>
      </c>
    </row>
    <row r="39" spans="1:18">
      <c r="A39" s="15" t="s">
        <v>381</v>
      </c>
      <c r="B39" s="17" t="n">
        <v>2957</v>
      </c>
      <c r="C39" s="18">
        <f>(2593.0/B39*100)</f>
        <v/>
      </c>
      <c r="D39" s="19" t="n">
        <v>364</v>
      </c>
      <c r="E39" s="18" t="n">
        <v>45.04364657</v>
      </c>
      <c r="F39" s="20" t="n">
        <v>3.23146009</v>
      </c>
      <c r="G39" s="18" t="n">
        <v>53.73152829</v>
      </c>
      <c r="H39" s="20" t="n">
        <v>3.3295095</v>
      </c>
      <c r="I39" s="18" t="s">
        <v>349</v>
      </c>
      <c r="J39" s="20" t="s">
        <v>349</v>
      </c>
      <c r="K39" s="18" t="n">
        <v>0</v>
      </c>
      <c r="L39" s="20" t="n">
        <v>0</v>
      </c>
      <c r="M39" s="18" t="n">
        <v>0</v>
      </c>
      <c r="N39" s="20" t="n">
        <v>0</v>
      </c>
      <c r="O39" s="18" t="n">
        <v>0</v>
      </c>
      <c r="P39" s="20" t="n">
        <v>0</v>
      </c>
      <c r="Q39" s="18" t="n">
        <v>1.22482514</v>
      </c>
      <c r="R39" s="20" t="n">
        <v>0.5887689699999999</v>
      </c>
    </row>
    <row r="40" spans="1:18">
      <c r="A40" s="15" t="s">
        <v>382</v>
      </c>
      <c r="B40" s="17" t="n">
        <v>7235</v>
      </c>
      <c r="C40" s="18">
        <f>(6326.0/B40*100)</f>
        <v/>
      </c>
      <c r="D40" s="19" t="n">
        <v>909</v>
      </c>
      <c r="E40" s="18" t="n">
        <v>33.02438637</v>
      </c>
      <c r="F40" s="20" t="n">
        <v>2.26313196</v>
      </c>
      <c r="G40" s="18" t="n">
        <v>66.29595408</v>
      </c>
      <c r="H40" s="20" t="n">
        <v>2.28011197</v>
      </c>
      <c r="I40" s="18" t="s">
        <v>349</v>
      </c>
      <c r="J40" s="20" t="s">
        <v>349</v>
      </c>
      <c r="K40" s="18" t="n">
        <v>0.02601636</v>
      </c>
      <c r="L40" s="20" t="n">
        <v>0.02626391</v>
      </c>
      <c r="M40" s="18" t="n">
        <v>0</v>
      </c>
      <c r="N40" s="20" t="n">
        <v>0</v>
      </c>
      <c r="O40" s="18" t="n">
        <v>0</v>
      </c>
      <c r="P40" s="20" t="n">
        <v>0</v>
      </c>
      <c r="Q40" s="18" t="n">
        <v>0.65364319</v>
      </c>
      <c r="R40" s="20" t="n">
        <v>0.46781145</v>
      </c>
    </row>
    <row r="41" spans="1:18">
      <c r="A41" s="15" t="s">
        <v>383</v>
      </c>
      <c r="B41" s="17" t="n">
        <v>2858</v>
      </c>
      <c r="C41" s="18">
        <f>(2532.0/B41*100)</f>
        <v/>
      </c>
      <c r="D41" s="19" t="n">
        <v>326</v>
      </c>
      <c r="E41" s="18" t="n">
        <v>37.81767497</v>
      </c>
      <c r="F41" s="20" t="n">
        <v>3.27750907</v>
      </c>
      <c r="G41" s="18" t="n">
        <v>61.8980628</v>
      </c>
      <c r="H41" s="20" t="n">
        <v>3.29283938</v>
      </c>
      <c r="I41" s="18" t="s">
        <v>349</v>
      </c>
      <c r="J41" s="20" t="s">
        <v>349</v>
      </c>
      <c r="K41" s="18" t="n">
        <v>0.28426223</v>
      </c>
      <c r="L41" s="20" t="n">
        <v>0.27619648</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(9777.0/B46*100)</f>
        <v/>
      </c>
      <c r="D46" s="19" t="n">
        <v>1291</v>
      </c>
      <c r="E46" s="18" t="n">
        <v>53.31024246</v>
      </c>
      <c r="F46" s="20" t="n">
        <v>2.05428254</v>
      </c>
      <c r="G46" s="18" t="n">
        <v>44.49296128</v>
      </c>
      <c r="H46" s="20" t="n">
        <v>2.08484082</v>
      </c>
      <c r="I46" s="18" t="s">
        <v>349</v>
      </c>
      <c r="J46" s="20" t="s">
        <v>349</v>
      </c>
      <c r="K46" s="18" t="n">
        <v>0.35308483</v>
      </c>
      <c r="L46" s="20" t="n">
        <v>0.21807814</v>
      </c>
      <c r="M46" s="18" t="n">
        <v>0</v>
      </c>
      <c r="N46" s="20" t="n">
        <v>0</v>
      </c>
      <c r="O46" s="18" t="n">
        <v>0</v>
      </c>
      <c r="P46" s="20" t="n">
        <v>0</v>
      </c>
      <c r="Q46" s="18" t="n">
        <v>1.84371143</v>
      </c>
      <c r="R46" s="20" t="n">
        <v>0.44304173</v>
      </c>
    </row>
    <row r="47" spans="1:18">
      <c r="A47" s="15" t="s">
        <v>389</v>
      </c>
      <c r="B47" s="17" t="n">
        <v>3105</v>
      </c>
      <c r="C47" s="18">
        <f>(2729.0/B47*100)</f>
        <v/>
      </c>
      <c r="D47" s="19" t="n">
        <v>376</v>
      </c>
      <c r="E47" s="18" t="n">
        <v>36.54180949</v>
      </c>
      <c r="F47" s="20" t="n">
        <v>2.64523279</v>
      </c>
      <c r="G47" s="18" t="n">
        <v>62.39479194</v>
      </c>
      <c r="H47" s="20" t="n">
        <v>2.55967803</v>
      </c>
      <c r="I47" s="18" t="s">
        <v>349</v>
      </c>
      <c r="J47" s="20" t="s">
        <v>349</v>
      </c>
      <c r="K47" s="18" t="n">
        <v>0.24883921</v>
      </c>
      <c r="L47" s="20" t="n">
        <v>0.23977144</v>
      </c>
      <c r="M47" s="18" t="n">
        <v>0</v>
      </c>
      <c r="N47" s="20" t="n">
        <v>0</v>
      </c>
      <c r="O47" s="18" t="n">
        <v>0</v>
      </c>
      <c r="P47" s="20" t="n">
        <v>0</v>
      </c>
      <c r="Q47" s="18" t="n">
        <v>0.81455936</v>
      </c>
      <c r="R47" s="20" t="n">
        <v>0.49331492</v>
      </c>
    </row>
    <row r="48" spans="1:18">
      <c r="A48" s="15" t="s">
        <v>390</v>
      </c>
      <c r="B48" s="17" t="n">
        <v>5159</v>
      </c>
      <c r="C48" s="18">
        <f>(4499.0/B48*100)</f>
        <v/>
      </c>
      <c r="D48" s="19" t="n">
        <v>660</v>
      </c>
      <c r="E48" s="18" t="n">
        <v>29.53730928</v>
      </c>
      <c r="F48" s="20" t="n">
        <v>2.05545932</v>
      </c>
      <c r="G48" s="18" t="n">
        <v>69.93327305</v>
      </c>
      <c r="H48" s="20" t="n">
        <v>2.10602798</v>
      </c>
      <c r="I48" s="18" t="s">
        <v>349</v>
      </c>
      <c r="J48" s="20" t="s">
        <v>349</v>
      </c>
      <c r="K48" s="18" t="n">
        <v>0.2854918</v>
      </c>
      <c r="L48" s="20" t="n">
        <v>0.21271261</v>
      </c>
      <c r="M48" s="18" t="n">
        <v>0</v>
      </c>
      <c r="N48" s="20" t="n">
        <v>0</v>
      </c>
      <c r="O48" s="18" t="n">
        <v>0</v>
      </c>
      <c r="P48" s="20" t="n">
        <v>0</v>
      </c>
      <c r="Q48" s="18" t="n">
        <v>0.24392587</v>
      </c>
      <c r="R48" s="20" t="n">
        <v>0.23880434</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(4955.0/B50*100)</f>
        <v/>
      </c>
      <c r="D50" s="19" t="n">
        <v>682</v>
      </c>
      <c r="E50" s="18" t="n">
        <v>59.57396587</v>
      </c>
      <c r="F50" s="20" t="n">
        <v>2.51848188</v>
      </c>
      <c r="G50" s="18" t="n">
        <v>39.59305888</v>
      </c>
      <c r="H50" s="20" t="n">
        <v>2.55431339</v>
      </c>
      <c r="I50" s="18" t="s">
        <v>349</v>
      </c>
      <c r="J50" s="20" t="s">
        <v>349</v>
      </c>
      <c r="K50" s="18" t="n">
        <v>0.24232902</v>
      </c>
      <c r="L50" s="20" t="n">
        <v>0.24138637</v>
      </c>
      <c r="M50" s="18" t="n">
        <v>0</v>
      </c>
      <c r="N50" s="20" t="n">
        <v>0</v>
      </c>
      <c r="O50" s="18" t="n">
        <v>0</v>
      </c>
      <c r="P50" s="20" t="n">
        <v>0</v>
      </c>
      <c r="Q50" s="18" t="n">
        <v>0.59064623</v>
      </c>
      <c r="R50" s="20" t="n">
        <v>0.33066304</v>
      </c>
    </row>
    <row r="51" spans="1:18">
      <c r="A51" s="15" t="s">
        <v>393</v>
      </c>
      <c r="B51" s="17" t="n">
        <v>3372</v>
      </c>
      <c r="C51" s="18">
        <f>(3023.0/B51*100)</f>
        <v/>
      </c>
      <c r="D51" s="19" t="n">
        <v>349</v>
      </c>
      <c r="E51" s="18" t="n">
        <v>54.95560797</v>
      </c>
      <c r="F51" s="20" t="n">
        <v>2.73846474</v>
      </c>
      <c r="G51" s="18" t="n">
        <v>43.57032601</v>
      </c>
      <c r="H51" s="20" t="n">
        <v>2.78142911</v>
      </c>
      <c r="I51" s="18" t="s">
        <v>349</v>
      </c>
      <c r="J51" s="20" t="s">
        <v>349</v>
      </c>
      <c r="K51" s="18" t="n">
        <v>0</v>
      </c>
      <c r="L51" s="20" t="n">
        <v>0</v>
      </c>
      <c r="M51" s="18" t="n">
        <v>0</v>
      </c>
      <c r="N51" s="20" t="n">
        <v>0</v>
      </c>
      <c r="O51" s="18" t="n">
        <v>0</v>
      </c>
      <c r="P51" s="20" t="n">
        <v>0</v>
      </c>
      <c r="Q51" s="18" t="n">
        <v>1.47406602</v>
      </c>
      <c r="R51" s="20" t="n">
        <v>0.63041691</v>
      </c>
    </row>
    <row r="52" spans="1:18">
      <c r="A52" s="15" t="s">
        <v>394</v>
      </c>
      <c r="B52" s="17" t="n">
        <v>2796</v>
      </c>
      <c r="C52" s="18">
        <f>(2446.0/B52*100)</f>
        <v/>
      </c>
      <c r="D52" s="19" t="n">
        <v>350</v>
      </c>
      <c r="E52" s="18" t="n">
        <v>32.0681953</v>
      </c>
      <c r="F52" s="20" t="n">
        <v>2.79779458</v>
      </c>
      <c r="G52" s="18" t="n">
        <v>67.3538509</v>
      </c>
      <c r="H52" s="20" t="n">
        <v>2.87279148</v>
      </c>
      <c r="I52" s="18" t="s">
        <v>349</v>
      </c>
      <c r="J52" s="20" t="s">
        <v>349</v>
      </c>
      <c r="K52" s="18" t="n">
        <v>0</v>
      </c>
      <c r="L52" s="20" t="n">
        <v>0</v>
      </c>
      <c r="M52" s="18" t="n">
        <v>0</v>
      </c>
      <c r="N52" s="20" t="n">
        <v>0</v>
      </c>
      <c r="O52" s="18" t="n">
        <v>0</v>
      </c>
      <c r="P52" s="20" t="n">
        <v>0</v>
      </c>
      <c r="Q52" s="18" t="n">
        <v>0.5779538</v>
      </c>
      <c r="R52" s="20" t="n">
        <v>0.40602095</v>
      </c>
    </row>
    <row r="53" spans="1:18">
      <c r="A53" s="15" t="s">
        <v>395</v>
      </c>
      <c r="B53" s="17" t="n">
        <v>2811</v>
      </c>
      <c r="C53" s="18">
        <f>(2450.0/B53*100)</f>
        <v/>
      </c>
      <c r="D53" s="19" t="n">
        <v>361</v>
      </c>
      <c r="E53" s="18" t="n">
        <v>33.70604364</v>
      </c>
      <c r="F53" s="20" t="n">
        <v>2.83363158</v>
      </c>
      <c r="G53" s="18" t="n">
        <v>65.81519661</v>
      </c>
      <c r="H53" s="20" t="n">
        <v>2.87122497</v>
      </c>
      <c r="I53" s="18" t="s">
        <v>349</v>
      </c>
      <c r="J53" s="20" t="s">
        <v>349</v>
      </c>
      <c r="K53" s="18" t="n">
        <v>0.27759503</v>
      </c>
      <c r="L53" s="20" t="n">
        <v>0.27619004</v>
      </c>
      <c r="M53" s="18" t="n">
        <v>0</v>
      </c>
      <c r="N53" s="20" t="n">
        <v>0</v>
      </c>
      <c r="O53" s="18" t="n">
        <v>0</v>
      </c>
      <c r="P53" s="20" t="n">
        <v>0</v>
      </c>
      <c r="Q53" s="18" t="n">
        <v>0.20116472</v>
      </c>
      <c r="R53" s="20" t="n">
        <v>0.20129376</v>
      </c>
    </row>
    <row r="54" spans="1:18">
      <c r="A54" s="15" t="s">
        <v>396</v>
      </c>
      <c r="B54" s="17" t="n">
        <v>2266</v>
      </c>
      <c r="C54" s="18">
        <f>(1861.0/B54*100)</f>
        <v/>
      </c>
      <c r="D54" s="19" t="n">
        <v>405</v>
      </c>
      <c r="E54" s="18" t="n">
        <v>70.43731921</v>
      </c>
      <c r="F54" s="20" t="n">
        <v>2.81348274</v>
      </c>
      <c r="G54" s="18" t="n">
        <v>25.24483528</v>
      </c>
      <c r="H54" s="20" t="n">
        <v>2.54243135</v>
      </c>
      <c r="I54" s="18" t="s">
        <v>349</v>
      </c>
      <c r="J54" s="20" t="s">
        <v>349</v>
      </c>
      <c r="K54" s="18" t="n">
        <v>3.2765516</v>
      </c>
      <c r="L54" s="20" t="n">
        <v>0.97404669</v>
      </c>
      <c r="M54" s="18" t="n">
        <v>0</v>
      </c>
      <c r="N54" s="20" t="n">
        <v>0</v>
      </c>
      <c r="O54" s="18" t="n">
        <v>0</v>
      </c>
      <c r="P54" s="20" t="n">
        <v>0</v>
      </c>
      <c r="Q54" s="18" t="n">
        <v>1.04129391</v>
      </c>
      <c r="R54" s="20" t="n">
        <v>0.48417931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(2358.0/B56*100)</f>
        <v/>
      </c>
      <c r="D56" s="19" t="n">
        <v>326</v>
      </c>
      <c r="E56" s="18" t="n">
        <v>19.84550231</v>
      </c>
      <c r="F56" s="20" t="n">
        <v>2.22048101</v>
      </c>
      <c r="G56" s="18" t="n">
        <v>78.64934431</v>
      </c>
      <c r="H56" s="20" t="n">
        <v>2.29787823</v>
      </c>
      <c r="I56" s="18" t="s">
        <v>349</v>
      </c>
      <c r="J56" s="20" t="s">
        <v>349</v>
      </c>
      <c r="K56" s="18" t="n">
        <v>0</v>
      </c>
      <c r="L56" s="20" t="n">
        <v>0</v>
      </c>
      <c r="M56" s="18" t="n">
        <v>0</v>
      </c>
      <c r="N56" s="20" t="n">
        <v>0</v>
      </c>
      <c r="O56" s="18" t="n">
        <v>0</v>
      </c>
      <c r="P56" s="20" t="n">
        <v>0</v>
      </c>
      <c r="Q56" s="18" t="n">
        <v>1.50515339</v>
      </c>
      <c r="R56" s="20" t="n">
        <v>0.67921497</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(2896.0/B61*100)</f>
        <v/>
      </c>
      <c r="D61" s="19" t="n">
        <v>428</v>
      </c>
      <c r="E61" s="18" t="n">
        <v>36.81966909</v>
      </c>
      <c r="F61" s="20" t="n">
        <v>2.61671796</v>
      </c>
      <c r="G61" s="18" t="n">
        <v>62.58122797</v>
      </c>
      <c r="H61" s="20" t="n">
        <v>2.66018405</v>
      </c>
      <c r="I61" s="18" t="s">
        <v>349</v>
      </c>
      <c r="J61" s="20" t="s">
        <v>349</v>
      </c>
      <c r="K61" s="18" t="n">
        <v>0</v>
      </c>
      <c r="L61" s="20" t="n">
        <v>0</v>
      </c>
      <c r="M61" s="18" t="n">
        <v>0</v>
      </c>
      <c r="N61" s="20" t="n">
        <v>0</v>
      </c>
      <c r="O61" s="18" t="n">
        <v>0</v>
      </c>
      <c r="P61" s="20" t="n">
        <v>0</v>
      </c>
      <c r="Q61" s="18" t="n">
        <v>0.59910293</v>
      </c>
      <c r="R61" s="20" t="n">
        <v>0.51884997</v>
      </c>
    </row>
    <row r="62" spans="1:18">
      <c r="A62" s="15" t="s">
        <v>404</v>
      </c>
      <c r="B62" s="17" t="n">
        <v>2246</v>
      </c>
      <c r="C62" s="18">
        <f>(1978.0/B62*100)</f>
        <v/>
      </c>
      <c r="D62" s="19" t="n">
        <v>268</v>
      </c>
      <c r="E62" s="18" t="n">
        <v>32.03540452</v>
      </c>
      <c r="F62" s="20" t="n">
        <v>3.29972627</v>
      </c>
      <c r="G62" s="18" t="n">
        <v>67.96459548</v>
      </c>
      <c r="H62" s="20" t="n">
        <v>3.29972627</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(2530.0/B66*100)</f>
        <v/>
      </c>
      <c r="D66" s="19" t="n">
        <v>364</v>
      </c>
      <c r="E66" s="18" t="n">
        <v>45.33896984</v>
      </c>
      <c r="F66" s="20" t="n">
        <v>3.18743269</v>
      </c>
      <c r="G66" s="18" t="n">
        <v>52.73595984</v>
      </c>
      <c r="H66" s="20" t="n">
        <v>3.11405669</v>
      </c>
      <c r="I66" s="18" t="s">
        <v>349</v>
      </c>
      <c r="J66" s="20" t="s">
        <v>349</v>
      </c>
      <c r="K66" s="18" t="n">
        <v>0.47793759</v>
      </c>
      <c r="L66" s="20" t="n">
        <v>0.34335119</v>
      </c>
      <c r="M66" s="18" t="n">
        <v>0</v>
      </c>
      <c r="N66" s="20" t="n">
        <v>0</v>
      </c>
      <c r="O66" s="18" t="n">
        <v>0</v>
      </c>
      <c r="P66" s="20" t="n">
        <v>0</v>
      </c>
      <c r="Q66" s="18" t="n">
        <v>1.44713273</v>
      </c>
      <c r="R66" s="20" t="n">
        <v>0.58413106</v>
      </c>
    </row>
    <row r="67" spans="1:18">
      <c r="A67" s="15" t="s">
        <v>409</v>
      </c>
      <c r="B67" s="17" t="n">
        <v>3511</v>
      </c>
      <c r="C67" s="18">
        <f>(3094.0/B67*100)</f>
        <v/>
      </c>
      <c r="D67" s="19" t="n">
        <v>417</v>
      </c>
      <c r="E67" s="18" t="n">
        <v>54.9311492</v>
      </c>
      <c r="F67" s="20" t="n">
        <v>2.42364379</v>
      </c>
      <c r="G67" s="18" t="n">
        <v>44.61926206</v>
      </c>
      <c r="H67" s="20" t="n">
        <v>2.48656439</v>
      </c>
      <c r="I67" s="18" t="s">
        <v>349</v>
      </c>
      <c r="J67" s="20" t="s">
        <v>349</v>
      </c>
      <c r="K67" s="18" t="n">
        <v>0</v>
      </c>
      <c r="L67" s="20" t="n">
        <v>0</v>
      </c>
      <c r="M67" s="18" t="n">
        <v>0</v>
      </c>
      <c r="N67" s="20" t="n">
        <v>0</v>
      </c>
      <c r="O67" s="18" t="n">
        <v>0</v>
      </c>
      <c r="P67" s="20" t="n">
        <v>0</v>
      </c>
      <c r="Q67" s="18" t="n">
        <v>0.44958873</v>
      </c>
      <c r="R67" s="20" t="n">
        <v>0.30800736</v>
      </c>
    </row>
    <row r="68" spans="1:18">
      <c r="A68" s="15" t="s">
        <v>410</v>
      </c>
      <c r="B68" s="17" t="n">
        <v>6049</v>
      </c>
      <c r="C68" s="18">
        <f>(5040.0/B68*100)</f>
        <v/>
      </c>
      <c r="D68" s="19" t="n">
        <v>1009</v>
      </c>
      <c r="E68" s="18" t="n">
        <v>52.82404623</v>
      </c>
      <c r="F68" s="20" t="n">
        <v>1.57727839</v>
      </c>
      <c r="G68" s="18" t="n">
        <v>45.00553266</v>
      </c>
      <c r="H68" s="20" t="n">
        <v>1.56710782</v>
      </c>
      <c r="I68" s="18" t="s">
        <v>349</v>
      </c>
      <c r="J68" s="20" t="s">
        <v>349</v>
      </c>
      <c r="K68" s="18" t="n">
        <v>1.17453004</v>
      </c>
      <c r="L68" s="20" t="n">
        <v>0.33101555</v>
      </c>
      <c r="M68" s="18" t="n">
        <v>0</v>
      </c>
      <c r="N68" s="20" t="n">
        <v>0</v>
      </c>
      <c r="O68" s="18" t="n">
        <v>0</v>
      </c>
      <c r="P68" s="20" t="n">
        <v>0</v>
      </c>
      <c r="Q68" s="18" t="n">
        <v>0.99589107</v>
      </c>
      <c r="R68" s="20" t="n">
        <v>0.31848992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(2571.0/B70*100)</f>
        <v/>
      </c>
      <c r="D70" s="19" t="n">
        <v>358</v>
      </c>
      <c r="E70" s="18" t="n">
        <v>38.01768677</v>
      </c>
      <c r="F70" s="20" t="n">
        <v>3.34814002</v>
      </c>
      <c r="G70" s="18" t="n">
        <v>61.98231323</v>
      </c>
      <c r="H70" s="20" t="n">
        <v>3.34814002</v>
      </c>
      <c r="I70" s="18" t="s">
        <v>349</v>
      </c>
      <c r="J70" s="20" t="s">
        <v>349</v>
      </c>
      <c r="K70" s="18" t="n">
        <v>0</v>
      </c>
      <c r="L70" s="20" t="n">
        <v>0</v>
      </c>
      <c r="M70" s="18" t="n">
        <v>0</v>
      </c>
      <c r="N70" s="20" t="n">
        <v>0</v>
      </c>
      <c r="O70" s="18" t="n">
        <v>0</v>
      </c>
      <c r="P70" s="20" t="n">
        <v>0</v>
      </c>
      <c r="Q70" s="18" t="n">
        <v>0</v>
      </c>
      <c r="R70" s="20" t="n">
        <v>0</v>
      </c>
    </row>
    <row r="71" spans="1:18">
      <c r="A71" s="15" t="s">
        <v>413</v>
      </c>
      <c r="B71" s="17" t="n">
        <v>3142</v>
      </c>
      <c r="C71" s="18">
        <f>(2753.0/B71*100)</f>
        <v/>
      </c>
      <c r="D71" s="19" t="n">
        <v>389</v>
      </c>
      <c r="E71" s="18" t="n">
        <v>26.93001734</v>
      </c>
      <c r="F71" s="20" t="n">
        <v>2.04003635</v>
      </c>
      <c r="G71" s="18" t="n">
        <v>72.70173078000001</v>
      </c>
      <c r="H71" s="20" t="n">
        <v>2.04598561</v>
      </c>
      <c r="I71" s="18" t="s">
        <v>349</v>
      </c>
      <c r="J71" s="20" t="s">
        <v>349</v>
      </c>
      <c r="K71" s="18" t="n">
        <v>0</v>
      </c>
      <c r="L71" s="20" t="n">
        <v>0</v>
      </c>
      <c r="M71" s="18" t="n">
        <v>0</v>
      </c>
      <c r="N71" s="20" t="n">
        <v>0</v>
      </c>
      <c r="O71" s="18" t="n">
        <v>0</v>
      </c>
      <c r="P71" s="20" t="n">
        <v>0</v>
      </c>
      <c r="Q71" s="18" t="n">
        <v>0.36825188</v>
      </c>
      <c r="R71" s="20" t="n">
        <v>0.26061932</v>
      </c>
    </row>
    <row r="72" spans="1:18">
      <c r="A72" s="15" t="s">
        <v>414</v>
      </c>
      <c r="B72" s="17" t="n">
        <v>3889</v>
      </c>
      <c r="C72" s="18">
        <f>(3422.0/B72*100)</f>
        <v/>
      </c>
      <c r="D72" s="19" t="n">
        <v>467</v>
      </c>
      <c r="E72" s="18" t="n">
        <v>22.2897306</v>
      </c>
      <c r="F72" s="20" t="n">
        <v>2.01010206</v>
      </c>
      <c r="G72" s="18" t="n">
        <v>77.22130038</v>
      </c>
      <c r="H72" s="20" t="n">
        <v>1.98441495</v>
      </c>
      <c r="I72" s="18" t="s">
        <v>349</v>
      </c>
      <c r="J72" s="20" t="s">
        <v>349</v>
      </c>
      <c r="K72" s="18" t="n">
        <v>0</v>
      </c>
      <c r="L72" s="20" t="n">
        <v>0</v>
      </c>
      <c r="M72" s="18" t="n">
        <v>0</v>
      </c>
      <c r="N72" s="20" t="n">
        <v>0</v>
      </c>
      <c r="O72" s="18" t="n">
        <v>0</v>
      </c>
      <c r="P72" s="20" t="n">
        <v>0</v>
      </c>
      <c r="Q72" s="18" t="n">
        <v>0.48896902</v>
      </c>
      <c r="R72" s="20" t="n">
        <v>0.29262579</v>
      </c>
    </row>
    <row r="73" spans="1:18">
      <c r="A73" s="15" t="s">
        <v>415</v>
      </c>
      <c r="B73" s="17" t="n">
        <v>3597</v>
      </c>
      <c r="C73" s="18">
        <f>(3168.0/B73*100)</f>
        <v/>
      </c>
      <c r="D73" s="19" t="n">
        <v>429</v>
      </c>
      <c r="E73" s="18" t="n">
        <v>40.28026987</v>
      </c>
      <c r="F73" s="20" t="n">
        <v>2.51797946</v>
      </c>
      <c r="G73" s="18" t="n">
        <v>59.24868586</v>
      </c>
      <c r="H73" s="20" t="n">
        <v>2.52838409</v>
      </c>
      <c r="I73" s="18" t="s">
        <v>349</v>
      </c>
      <c r="J73" s="20" t="s">
        <v>349</v>
      </c>
      <c r="K73" s="18" t="n">
        <v>0</v>
      </c>
      <c r="L73" s="20" t="n">
        <v>0</v>
      </c>
      <c r="M73" s="18" t="n">
        <v>0</v>
      </c>
      <c r="N73" s="20" t="n">
        <v>0</v>
      </c>
      <c r="O73" s="18" t="n">
        <v>0</v>
      </c>
      <c r="P73" s="20" t="n">
        <v>0</v>
      </c>
      <c r="Q73" s="18" t="n">
        <v>0.47104427</v>
      </c>
      <c r="R73" s="20" t="n">
        <v>0.37024228</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(2132.0/B75*100)</f>
        <v/>
      </c>
      <c r="D75" s="19" t="n">
        <v>274</v>
      </c>
      <c r="E75" s="18" t="n">
        <v>57.27448129</v>
      </c>
      <c r="F75" s="20" t="n">
        <v>2.92195354</v>
      </c>
      <c r="G75" s="18" t="n">
        <v>39.93649398</v>
      </c>
      <c r="H75" s="20" t="n">
        <v>2.70452561</v>
      </c>
      <c r="I75" s="18" t="s">
        <v>349</v>
      </c>
      <c r="J75" s="20" t="s">
        <v>349</v>
      </c>
      <c r="K75" s="18" t="n">
        <v>0.60356345</v>
      </c>
      <c r="L75" s="20" t="n">
        <v>0.44041868</v>
      </c>
      <c r="M75" s="18" t="n">
        <v>0</v>
      </c>
      <c r="N75" s="20" t="n">
        <v>0</v>
      </c>
      <c r="O75" s="18" t="n">
        <v>0</v>
      </c>
      <c r="P75" s="20" t="n">
        <v>0</v>
      </c>
      <c r="Q75" s="18" t="n">
        <v>2.18546128</v>
      </c>
      <c r="R75" s="20" t="n">
        <v>0.88185101</v>
      </c>
    </row>
    <row r="76" spans="1:18">
      <c r="A76" s="15" t="s">
        <v>418</v>
      </c>
      <c r="B76" s="17" t="n">
        <v>7052</v>
      </c>
      <c r="C76" s="18">
        <f>(6173.0/B76*100)</f>
        <v/>
      </c>
      <c r="D76" s="19" t="n">
        <v>879</v>
      </c>
      <c r="E76" s="18" t="n">
        <v>47.08153829</v>
      </c>
      <c r="F76" s="20" t="n">
        <v>2.60006066</v>
      </c>
      <c r="G76" s="18" t="n">
        <v>51.60273595</v>
      </c>
      <c r="H76" s="20" t="n">
        <v>2.66557852</v>
      </c>
      <c r="I76" s="18" t="s">
        <v>349</v>
      </c>
      <c r="J76" s="20" t="s">
        <v>349</v>
      </c>
      <c r="K76" s="18" t="n">
        <v>0.14060267</v>
      </c>
      <c r="L76" s="20" t="n">
        <v>0.10574486</v>
      </c>
      <c r="M76" s="18" t="n">
        <v>0</v>
      </c>
      <c r="N76" s="20" t="n">
        <v>0</v>
      </c>
      <c r="O76" s="18" t="n">
        <v>0</v>
      </c>
      <c r="P76" s="20" t="n">
        <v>0</v>
      </c>
      <c r="Q76" s="18" t="n">
        <v>1.17512308</v>
      </c>
      <c r="R76" s="20" t="n">
        <v>0.44322599</v>
      </c>
    </row>
    <row r="77" spans="1:18">
      <c r="A77" s="15" t="s">
        <v>419</v>
      </c>
      <c r="B77" s="17" t="n">
        <v>2908</v>
      </c>
      <c r="C77" s="18">
        <f>(2566.0/B77*100)</f>
        <v/>
      </c>
      <c r="D77" s="19" t="n">
        <v>342</v>
      </c>
      <c r="E77" s="18" t="n">
        <v>41.69420688</v>
      </c>
      <c r="F77" s="20" t="n">
        <v>2.78733591</v>
      </c>
      <c r="G77" s="18" t="n">
        <v>57.59435906</v>
      </c>
      <c r="H77" s="20" t="n">
        <v>2.96212801</v>
      </c>
      <c r="I77" s="18" t="s">
        <v>349</v>
      </c>
      <c r="J77" s="20" t="s">
        <v>349</v>
      </c>
      <c r="K77" s="18" t="n">
        <v>0.46947406</v>
      </c>
      <c r="L77" s="20" t="n">
        <v>0.56861871</v>
      </c>
      <c r="M77" s="18" t="n">
        <v>0</v>
      </c>
      <c r="N77" s="20" t="n">
        <v>0</v>
      </c>
      <c r="O77" s="18" t="n">
        <v>0</v>
      </c>
      <c r="P77" s="20" t="n">
        <v>0</v>
      </c>
      <c r="Q77" s="18" t="n">
        <v>0.24196</v>
      </c>
      <c r="R77" s="20" t="n">
        <v>0.35160574</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39.47212337</v>
      </c>
      <c r="F81" s="20" t="n">
        <v>2.74086282</v>
      </c>
      <c r="G81" s="18" t="n">
        <v>59.64837674</v>
      </c>
      <c r="H81" s="20" t="n">
        <v>2.76854249</v>
      </c>
      <c r="I81" s="18" t="s">
        <v>349</v>
      </c>
      <c r="J81" s="20" t="s">
        <v>349</v>
      </c>
      <c r="K81" s="18" t="n">
        <v>0.29538261</v>
      </c>
      <c r="L81" s="20" t="n">
        <v>0.27754559</v>
      </c>
      <c r="M81" s="18" t="n">
        <v>0</v>
      </c>
      <c r="N81" s="20" t="n">
        <v>0</v>
      </c>
      <c r="O81" s="18" t="n">
        <v>0</v>
      </c>
      <c r="P81" s="20" t="n">
        <v>0</v>
      </c>
      <c r="Q81" s="18" t="n">
        <v>0.58411729</v>
      </c>
      <c r="R81" s="20" t="n">
        <v>0.3959069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439</v>
      </c>
    </row>
    <row customHeight="1" ht="30" r="4" spans="1:24">
      <c r="A4" s="6" t="n"/>
      <c r="B4" s="7" t="s">
        <v>333</v>
      </c>
      <c r="C4" s="7" t="s">
        <v>334</v>
      </c>
      <c r="D4" s="8" t="s">
        <v>333</v>
      </c>
      <c r="E4" s="9" t="s">
        <v>440</v>
      </c>
      <c r="F4" s="10" t="n"/>
      <c r="G4" s="9" t="s">
        <v>441</v>
      </c>
      <c r="H4" s="10" t="n"/>
      <c r="I4" s="9" t="s">
        <v>442</v>
      </c>
      <c r="J4" s="10" t="n"/>
      <c r="K4" s="9" t="s">
        <v>443</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7367</v>
      </c>
      <c r="C7" s="18">
        <f>(6452.0/B7*100)</f>
        <v/>
      </c>
      <c r="D7" s="19" t="n">
        <v>915</v>
      </c>
      <c r="E7" s="18" t="n">
        <v>18.86597215</v>
      </c>
      <c r="F7" s="20" t="n">
        <v>1.48858115</v>
      </c>
      <c r="G7" s="18" t="n">
        <v>5.35152804</v>
      </c>
      <c r="H7" s="20" t="n">
        <v>0.86056575</v>
      </c>
      <c r="I7" s="18" t="n">
        <v>6.34216239</v>
      </c>
      <c r="J7" s="20" t="n">
        <v>1.01039363</v>
      </c>
      <c r="K7" s="18" t="n">
        <v>2.392102</v>
      </c>
      <c r="L7" s="20" t="n">
        <v>0.58663938</v>
      </c>
      <c r="M7" s="18" t="n">
        <v>58.13116138</v>
      </c>
      <c r="N7" s="20" t="n">
        <v>2.08208615</v>
      </c>
      <c r="O7" s="18" t="s">
        <v>349</v>
      </c>
      <c r="P7" s="20" t="s">
        <v>349</v>
      </c>
      <c r="Q7" s="18" t="n">
        <v>0.96506748</v>
      </c>
      <c r="R7" s="20" t="n">
        <v>0.38429237</v>
      </c>
      <c r="S7" s="18" t="n">
        <v>0.02826582</v>
      </c>
      <c r="T7" s="20" t="n">
        <v>0.02026164</v>
      </c>
      <c r="U7" s="18" t="n">
        <v>0</v>
      </c>
      <c r="V7" s="20" t="n">
        <v>0</v>
      </c>
      <c r="W7" s="18" t="n">
        <v>7.92374074</v>
      </c>
      <c r="X7" s="20" t="n">
        <v>1.06311442</v>
      </c>
    </row>
    <row r="8" spans="1:24">
      <c r="A8" s="15" t="s">
        <v>350</v>
      </c>
      <c r="B8" s="17" t="n">
        <v>3564</v>
      </c>
      <c r="C8" s="18">
        <f>(3135.0/B8*100)</f>
        <v/>
      </c>
      <c r="D8" s="19" t="n">
        <v>429</v>
      </c>
      <c r="E8" s="18" t="n">
        <v>14.86716874</v>
      </c>
      <c r="F8" s="20" t="n">
        <v>1.81649688</v>
      </c>
      <c r="G8" s="18" t="n">
        <v>8.033616779999999</v>
      </c>
      <c r="H8" s="20" t="n">
        <v>1.48656117</v>
      </c>
      <c r="I8" s="18" t="n">
        <v>5.56645596</v>
      </c>
      <c r="J8" s="20" t="n">
        <v>1.15566323</v>
      </c>
      <c r="K8" s="18" t="n">
        <v>0.45862614</v>
      </c>
      <c r="L8" s="20" t="n">
        <v>0.27247126</v>
      </c>
      <c r="M8" s="18" t="n">
        <v>54.82856463</v>
      </c>
      <c r="N8" s="20" t="n">
        <v>3.01860848</v>
      </c>
      <c r="O8" s="18" t="s">
        <v>349</v>
      </c>
      <c r="P8" s="20" t="s">
        <v>349</v>
      </c>
      <c r="Q8" s="18" t="n">
        <v>0</v>
      </c>
      <c r="R8" s="20" t="n">
        <v>0</v>
      </c>
      <c r="S8" s="18" t="n">
        <v>0.292158</v>
      </c>
      <c r="T8" s="20" t="n">
        <v>0.30945308</v>
      </c>
      <c r="U8" s="18" t="n">
        <v>0</v>
      </c>
      <c r="V8" s="20" t="n">
        <v>0</v>
      </c>
      <c r="W8" s="18" t="n">
        <v>15.95340974</v>
      </c>
      <c r="X8" s="20" t="n">
        <v>1.95893804</v>
      </c>
    </row>
    <row r="9" spans="1:24">
      <c r="A9" s="15" t="s">
        <v>351</v>
      </c>
      <c r="B9" s="17" t="n">
        <v>4899</v>
      </c>
      <c r="C9" s="18">
        <f>(4332.0/B9*100)</f>
        <v/>
      </c>
      <c r="D9" s="19" t="n">
        <v>567</v>
      </c>
      <c r="E9" s="18" t="n">
        <v>11.7883836</v>
      </c>
      <c r="F9" s="20" t="n">
        <v>1.38351053</v>
      </c>
      <c r="G9" s="18" t="n">
        <v>6.13100023</v>
      </c>
      <c r="H9" s="20" t="n">
        <v>0.99510611</v>
      </c>
      <c r="I9" s="18" t="n">
        <v>5.58939526</v>
      </c>
      <c r="J9" s="20" t="n">
        <v>1.07699692</v>
      </c>
      <c r="K9" s="18" t="n">
        <v>1.35509664</v>
      </c>
      <c r="L9" s="20" t="n">
        <v>0.57330976</v>
      </c>
      <c r="M9" s="18" t="n">
        <v>63.68155141</v>
      </c>
      <c r="N9" s="20" t="n">
        <v>2.31533825</v>
      </c>
      <c r="O9" s="18" t="s">
        <v>349</v>
      </c>
      <c r="P9" s="20" t="s">
        <v>349</v>
      </c>
      <c r="Q9" s="18" t="n">
        <v>0</v>
      </c>
      <c r="R9" s="20" t="n">
        <v>0</v>
      </c>
      <c r="S9" s="18" t="n">
        <v>0.5790431700000001</v>
      </c>
      <c r="T9" s="20" t="n">
        <v>0.29524129</v>
      </c>
      <c r="U9" s="18" t="n">
        <v>0</v>
      </c>
      <c r="V9" s="20" t="n">
        <v>0</v>
      </c>
      <c r="W9" s="18" t="n">
        <v>10.8755297</v>
      </c>
      <c r="X9" s="20" t="n">
        <v>1.48178256</v>
      </c>
    </row>
    <row r="10" spans="1:24">
      <c r="A10" s="15" t="s">
        <v>352</v>
      </c>
      <c r="B10" s="17" t="n">
        <v>10036</v>
      </c>
      <c r="C10" s="18">
        <f>(8810.0/B10*100)</f>
        <v/>
      </c>
      <c r="D10" s="19" t="n">
        <v>1226</v>
      </c>
      <c r="E10" s="18" t="n">
        <v>16.62480784</v>
      </c>
      <c r="F10" s="20" t="n">
        <v>1.5664285</v>
      </c>
      <c r="G10" s="18" t="n">
        <v>7.25497853</v>
      </c>
      <c r="H10" s="20" t="n">
        <v>0.97892331</v>
      </c>
      <c r="I10" s="18" t="n">
        <v>4.99571306</v>
      </c>
      <c r="J10" s="20" t="n">
        <v>0.78440458</v>
      </c>
      <c r="K10" s="18" t="n">
        <v>0.64273339</v>
      </c>
      <c r="L10" s="20" t="n">
        <v>0.24591212</v>
      </c>
      <c r="M10" s="18" t="n">
        <v>65.44893637</v>
      </c>
      <c r="N10" s="20" t="n">
        <v>1.85188898</v>
      </c>
      <c r="O10" s="18" t="s">
        <v>349</v>
      </c>
      <c r="P10" s="20" t="s">
        <v>349</v>
      </c>
      <c r="Q10" s="18" t="n">
        <v>0.15467042</v>
      </c>
      <c r="R10" s="20" t="n">
        <v>0.09653994</v>
      </c>
      <c r="S10" s="18" t="n">
        <v>0.44513211</v>
      </c>
      <c r="T10" s="20" t="n">
        <v>0.24572165</v>
      </c>
      <c r="U10" s="18" t="n">
        <v>0</v>
      </c>
      <c r="V10" s="20" t="n">
        <v>0</v>
      </c>
      <c r="W10" s="18" t="n">
        <v>4.43302827</v>
      </c>
      <c r="X10" s="20" t="n">
        <v>0.67000032</v>
      </c>
    </row>
    <row r="11" spans="1:24">
      <c r="A11" s="15" t="s">
        <v>353</v>
      </c>
      <c r="B11" s="17" t="n">
        <v>3553</v>
      </c>
      <c r="C11" s="18">
        <f>(3122.0/B11*100)</f>
        <v/>
      </c>
      <c r="D11" s="19" t="n">
        <v>431</v>
      </c>
      <c r="E11" s="18" t="n">
        <v>19.71750808</v>
      </c>
      <c r="F11" s="20" t="n">
        <v>2.3225704</v>
      </c>
      <c r="G11" s="18" t="n">
        <v>8.867820139999999</v>
      </c>
      <c r="H11" s="20" t="n">
        <v>1.48905965</v>
      </c>
      <c r="I11" s="18" t="n">
        <v>4.488425</v>
      </c>
      <c r="J11" s="20" t="n">
        <v>1.20390737</v>
      </c>
      <c r="K11" s="18" t="n">
        <v>1.25185564</v>
      </c>
      <c r="L11" s="20" t="n">
        <v>0.57807992</v>
      </c>
      <c r="M11" s="18" t="n">
        <v>34.84462148</v>
      </c>
      <c r="N11" s="20" t="n">
        <v>2.56835245</v>
      </c>
      <c r="O11" s="18" t="s">
        <v>349</v>
      </c>
      <c r="P11" s="20" t="s">
        <v>349</v>
      </c>
      <c r="Q11" s="18" t="n">
        <v>0.84856586</v>
      </c>
      <c r="R11" s="20" t="n">
        <v>0.39898216</v>
      </c>
      <c r="S11" s="18" t="n">
        <v>0</v>
      </c>
      <c r="T11" s="20" t="n">
        <v>0</v>
      </c>
      <c r="U11" s="18" t="n">
        <v>0</v>
      </c>
      <c r="V11" s="20" t="n">
        <v>0</v>
      </c>
      <c r="W11" s="18" t="n">
        <v>29.9812038</v>
      </c>
      <c r="X11" s="20" t="n">
        <v>2.63607595</v>
      </c>
    </row>
    <row r="12" spans="1:24">
      <c r="A12" s="15" t="s">
        <v>354</v>
      </c>
      <c r="B12" s="17" t="n">
        <v>3472</v>
      </c>
      <c r="C12" s="18">
        <f>(3071.0/B12*100)</f>
        <v/>
      </c>
      <c r="D12" s="19" t="n">
        <v>401</v>
      </c>
      <c r="E12" s="18" t="n">
        <v>17.26733649</v>
      </c>
      <c r="F12" s="20" t="n">
        <v>2.17227088</v>
      </c>
      <c r="G12" s="18" t="n">
        <v>5.74657506</v>
      </c>
      <c r="H12" s="20" t="n">
        <v>1.34681694</v>
      </c>
      <c r="I12" s="18" t="n">
        <v>6.15045294</v>
      </c>
      <c r="J12" s="20" t="n">
        <v>1.34031898</v>
      </c>
      <c r="K12" s="18" t="n">
        <v>0.58313667</v>
      </c>
      <c r="L12" s="20" t="n">
        <v>0.29209121</v>
      </c>
      <c r="M12" s="18" t="n">
        <v>53.18468984</v>
      </c>
      <c r="N12" s="20" t="n">
        <v>2.50307103</v>
      </c>
      <c r="O12" s="18" t="s">
        <v>349</v>
      </c>
      <c r="P12" s="20" t="s">
        <v>349</v>
      </c>
      <c r="Q12" s="18" t="n">
        <v>0</v>
      </c>
      <c r="R12" s="20" t="n">
        <v>0</v>
      </c>
      <c r="S12" s="18" t="n">
        <v>0.64652595</v>
      </c>
      <c r="T12" s="20" t="n">
        <v>0.52974428</v>
      </c>
      <c r="U12" s="18" t="n">
        <v>0</v>
      </c>
      <c r="V12" s="20" t="n">
        <v>0</v>
      </c>
      <c r="W12" s="18" t="n">
        <v>16.42128305</v>
      </c>
      <c r="X12" s="20" t="n">
        <v>2.09424842</v>
      </c>
    </row>
    <row r="13" spans="1:24">
      <c r="A13" s="15" t="s">
        <v>355</v>
      </c>
      <c r="B13" s="17" t="n">
        <v>3559</v>
      </c>
      <c r="C13" s="18">
        <f>(3137.0/B13*100)</f>
        <v/>
      </c>
      <c r="D13" s="19" t="n">
        <v>422</v>
      </c>
      <c r="E13" s="18" t="n">
        <v>16.92185263</v>
      </c>
      <c r="F13" s="20" t="n">
        <v>2.17916155</v>
      </c>
      <c r="G13" s="18" t="n">
        <v>13.29582979</v>
      </c>
      <c r="H13" s="20" t="n">
        <v>1.91368655</v>
      </c>
      <c r="I13" s="18" t="n">
        <v>7.31120778</v>
      </c>
      <c r="J13" s="20" t="n">
        <v>1.4145998</v>
      </c>
      <c r="K13" s="18" t="n">
        <v>0.76483346</v>
      </c>
      <c r="L13" s="20" t="n">
        <v>0.5046946</v>
      </c>
      <c r="M13" s="18" t="n">
        <v>55.7153002</v>
      </c>
      <c r="N13" s="20" t="n">
        <v>2.35692895</v>
      </c>
      <c r="O13" s="18" t="s">
        <v>349</v>
      </c>
      <c r="P13" s="20" t="s">
        <v>349</v>
      </c>
      <c r="Q13" s="18" t="n">
        <v>0.48976182</v>
      </c>
      <c r="R13" s="20" t="n">
        <v>0.33998382</v>
      </c>
      <c r="S13" s="18" t="n">
        <v>0.41639794</v>
      </c>
      <c r="T13" s="20" t="n">
        <v>0.42470925</v>
      </c>
      <c r="U13" s="18" t="n">
        <v>0</v>
      </c>
      <c r="V13" s="20" t="n">
        <v>0</v>
      </c>
      <c r="W13" s="18" t="n">
        <v>5.0848164</v>
      </c>
      <c r="X13" s="20" t="n">
        <v>1.25293355</v>
      </c>
    </row>
    <row r="14" spans="1:24">
      <c r="A14" s="15" t="s">
        <v>356</v>
      </c>
      <c r="B14" s="17" t="n">
        <v>2799</v>
      </c>
      <c r="C14" s="18">
        <f>(2455.0/B14*100)</f>
        <v/>
      </c>
      <c r="D14" s="19" t="n">
        <v>344</v>
      </c>
      <c r="E14" s="18" t="n">
        <v>12.08935435</v>
      </c>
      <c r="F14" s="20" t="n">
        <v>1.77044093</v>
      </c>
      <c r="G14" s="18" t="n">
        <v>4.99500878</v>
      </c>
      <c r="H14" s="20" t="n">
        <v>1.25589285</v>
      </c>
      <c r="I14" s="18" t="n">
        <v>6.21299517</v>
      </c>
      <c r="J14" s="20" t="n">
        <v>1.22263973</v>
      </c>
      <c r="K14" s="18" t="n">
        <v>2.82150167</v>
      </c>
      <c r="L14" s="20" t="n">
        <v>1.29913128</v>
      </c>
      <c r="M14" s="18" t="n">
        <v>68.33645773000001</v>
      </c>
      <c r="N14" s="20" t="n">
        <v>2.68958648</v>
      </c>
      <c r="O14" s="18" t="s">
        <v>349</v>
      </c>
      <c r="P14" s="20" t="s">
        <v>349</v>
      </c>
      <c r="Q14" s="18" t="n">
        <v>0</v>
      </c>
      <c r="R14" s="20" t="n">
        <v>0</v>
      </c>
      <c r="S14" s="18" t="n">
        <v>0.21913525</v>
      </c>
      <c r="T14" s="20" t="n">
        <v>0.22193021</v>
      </c>
      <c r="U14" s="18" t="n">
        <v>0</v>
      </c>
      <c r="V14" s="20" t="n">
        <v>0</v>
      </c>
      <c r="W14" s="18" t="n">
        <v>5.32554706</v>
      </c>
      <c r="X14" s="20" t="n">
        <v>1.26548351</v>
      </c>
    </row>
    <row r="15" spans="1:24">
      <c r="A15" s="15" t="s">
        <v>357</v>
      </c>
      <c r="B15" s="17" t="n">
        <v>3019</v>
      </c>
      <c r="C15" s="18">
        <f>(2666.0/B15*100)</f>
        <v/>
      </c>
      <c r="D15" s="19" t="n">
        <v>353</v>
      </c>
      <c r="E15" s="18" t="n">
        <v>13.57111112</v>
      </c>
      <c r="F15" s="20" t="n">
        <v>2.01425566</v>
      </c>
      <c r="G15" s="18" t="n">
        <v>13.91295169</v>
      </c>
      <c r="H15" s="20" t="n">
        <v>1.99133758</v>
      </c>
      <c r="I15" s="18" t="n">
        <v>3.07079951</v>
      </c>
      <c r="J15" s="20" t="n">
        <v>0.89911496</v>
      </c>
      <c r="K15" s="18" t="n">
        <v>4.58673198</v>
      </c>
      <c r="L15" s="20" t="n">
        <v>1.15099155</v>
      </c>
      <c r="M15" s="18" t="n">
        <v>57.05979048</v>
      </c>
      <c r="N15" s="20" t="n">
        <v>2.7376046</v>
      </c>
      <c r="O15" s="18" t="s">
        <v>349</v>
      </c>
      <c r="P15" s="20" t="s">
        <v>349</v>
      </c>
      <c r="Q15" s="18" t="n">
        <v>0</v>
      </c>
      <c r="R15" s="20" t="n">
        <v>0</v>
      </c>
      <c r="S15" s="18" t="n">
        <v>0</v>
      </c>
      <c r="T15" s="20" t="n">
        <v>0</v>
      </c>
      <c r="U15" s="18" t="n">
        <v>0</v>
      </c>
      <c r="V15" s="20" t="n">
        <v>0</v>
      </c>
      <c r="W15" s="18" t="n">
        <v>7.79861523</v>
      </c>
      <c r="X15" s="20" t="n">
        <v>1.35453529</v>
      </c>
    </row>
    <row r="16" spans="1:24">
      <c r="A16" s="15" t="s">
        <v>358</v>
      </c>
      <c r="B16" s="17" t="n">
        <v>2997</v>
      </c>
      <c r="C16" s="18">
        <f>(2613.0/B16*100)</f>
        <v/>
      </c>
      <c r="D16" s="19" t="n">
        <v>384</v>
      </c>
      <c r="E16" s="18" t="n">
        <v>17.76531562</v>
      </c>
      <c r="F16" s="20" t="n">
        <v>1.81866393</v>
      </c>
      <c r="G16" s="18" t="n">
        <v>9.569134999999999</v>
      </c>
      <c r="H16" s="20" t="n">
        <v>1.41859107</v>
      </c>
      <c r="I16" s="18" t="n">
        <v>3.953136</v>
      </c>
      <c r="J16" s="20" t="n">
        <v>1.04089221</v>
      </c>
      <c r="K16" s="18" t="n">
        <v>0.25199097</v>
      </c>
      <c r="L16" s="20" t="n">
        <v>0.24322901</v>
      </c>
      <c r="M16" s="18" t="n">
        <v>52.88408125</v>
      </c>
      <c r="N16" s="20" t="n">
        <v>2.28947764</v>
      </c>
      <c r="O16" s="18" t="s">
        <v>349</v>
      </c>
      <c r="P16" s="20" t="s">
        <v>349</v>
      </c>
      <c r="Q16" s="18" t="n">
        <v>0.72670446</v>
      </c>
      <c r="R16" s="20" t="n">
        <v>0.44836888</v>
      </c>
      <c r="S16" s="18" t="n">
        <v>0</v>
      </c>
      <c r="T16" s="20" t="n">
        <v>0</v>
      </c>
      <c r="U16" s="18" t="n">
        <v>0</v>
      </c>
      <c r="V16" s="20" t="n">
        <v>0</v>
      </c>
      <c r="W16" s="18" t="n">
        <v>14.8496367</v>
      </c>
      <c r="X16" s="20" t="n">
        <v>1.56186239</v>
      </c>
    </row>
    <row r="17" spans="1:24">
      <c r="A17" s="15" t="s">
        <v>359</v>
      </c>
      <c r="B17" s="17" t="n">
        <v>3307</v>
      </c>
      <c r="C17" s="18">
        <f>(2911.0/B17*100)</f>
        <v/>
      </c>
      <c r="D17" s="19" t="n">
        <v>396</v>
      </c>
      <c r="E17" s="18" t="n">
        <v>12.30595633</v>
      </c>
      <c r="F17" s="20" t="n">
        <v>1.51596077</v>
      </c>
      <c r="G17" s="18" t="n">
        <v>8.01228633</v>
      </c>
      <c r="H17" s="20" t="n">
        <v>1.23686909</v>
      </c>
      <c r="I17" s="18" t="n">
        <v>5.4035718</v>
      </c>
      <c r="J17" s="20" t="n">
        <v>1.12866115</v>
      </c>
      <c r="K17" s="18" t="n">
        <v>0.92046655</v>
      </c>
      <c r="L17" s="20" t="n">
        <v>0.47818048</v>
      </c>
      <c r="M17" s="18" t="n">
        <v>62.01504405</v>
      </c>
      <c r="N17" s="20" t="n">
        <v>2.24979985</v>
      </c>
      <c r="O17" s="18" t="s">
        <v>349</v>
      </c>
      <c r="P17" s="20" t="s">
        <v>349</v>
      </c>
      <c r="Q17" s="18" t="n">
        <v>0.5434679</v>
      </c>
      <c r="R17" s="20" t="n">
        <v>0.3591586</v>
      </c>
      <c r="S17" s="18" t="n">
        <v>0</v>
      </c>
      <c r="T17" s="20" t="n">
        <v>0</v>
      </c>
      <c r="U17" s="18" t="n">
        <v>0</v>
      </c>
      <c r="V17" s="20" t="n">
        <v>0</v>
      </c>
      <c r="W17" s="18" t="n">
        <v>10.79920705</v>
      </c>
      <c r="X17" s="20" t="n">
        <v>1.56162307</v>
      </c>
    </row>
    <row r="18" spans="1:24">
      <c r="A18" s="15" t="s">
        <v>360</v>
      </c>
      <c r="B18" s="17" t="n">
        <v>2826</v>
      </c>
      <c r="C18" s="18">
        <f>(2479.0/B18*100)</f>
        <v/>
      </c>
      <c r="D18" s="19" t="n">
        <v>347</v>
      </c>
      <c r="E18" s="18" t="n">
        <v>19.35599404</v>
      </c>
      <c r="F18" s="20" t="n">
        <v>2.69574014</v>
      </c>
      <c r="G18" s="18" t="n">
        <v>9.407388839999999</v>
      </c>
      <c r="H18" s="20" t="n">
        <v>1.77560888</v>
      </c>
      <c r="I18" s="18" t="n">
        <v>6.77805413</v>
      </c>
      <c r="J18" s="20" t="n">
        <v>1.25963093</v>
      </c>
      <c r="K18" s="18" t="n">
        <v>4.02798104</v>
      </c>
      <c r="L18" s="20" t="n">
        <v>1.19988498</v>
      </c>
      <c r="M18" s="18" t="n">
        <v>38.98142562</v>
      </c>
      <c r="N18" s="20" t="n">
        <v>3.04348251</v>
      </c>
      <c r="O18" s="18" t="s">
        <v>349</v>
      </c>
      <c r="P18" s="20" t="s">
        <v>349</v>
      </c>
      <c r="Q18" s="18" t="n">
        <v>0.29507905</v>
      </c>
      <c r="R18" s="20" t="n">
        <v>0.29654466</v>
      </c>
      <c r="S18" s="18" t="n">
        <v>0</v>
      </c>
      <c r="T18" s="20" t="n">
        <v>0</v>
      </c>
      <c r="U18" s="18" t="n">
        <v>0</v>
      </c>
      <c r="V18" s="20" t="n">
        <v>0</v>
      </c>
      <c r="W18" s="18" t="n">
        <v>21.15407728</v>
      </c>
      <c r="X18" s="20" t="n">
        <v>3.05325095</v>
      </c>
    </row>
    <row r="19" spans="1:24">
      <c r="A19" s="15" t="s">
        <v>361</v>
      </c>
      <c r="B19" s="17" t="n">
        <v>2808</v>
      </c>
      <c r="C19" s="18">
        <f>(2474.0/B19*100)</f>
        <v/>
      </c>
      <c r="D19" s="19" t="n">
        <v>334</v>
      </c>
      <c r="E19" s="18" t="n">
        <v>17.80555815</v>
      </c>
      <c r="F19" s="20" t="n">
        <v>2.14252052</v>
      </c>
      <c r="G19" s="18" t="n">
        <v>3.06401722</v>
      </c>
      <c r="H19" s="20" t="n">
        <v>0.93833331</v>
      </c>
      <c r="I19" s="18" t="n">
        <v>10.20361353</v>
      </c>
      <c r="J19" s="20" t="n">
        <v>1.79251478</v>
      </c>
      <c r="K19" s="18" t="n">
        <v>2.2984366</v>
      </c>
      <c r="L19" s="20" t="n">
        <v>0.85326962</v>
      </c>
      <c r="M19" s="18" t="n">
        <v>48.27966096</v>
      </c>
      <c r="N19" s="20" t="n">
        <v>2.81228088</v>
      </c>
      <c r="O19" s="18" t="s">
        <v>349</v>
      </c>
      <c r="P19" s="20" t="s">
        <v>349</v>
      </c>
      <c r="Q19" s="18" t="n">
        <v>0.7012265</v>
      </c>
      <c r="R19" s="20" t="n">
        <v>0.66088301</v>
      </c>
      <c r="S19" s="18" t="n">
        <v>0.29907677</v>
      </c>
      <c r="T19" s="20" t="n">
        <v>0.21199255</v>
      </c>
      <c r="U19" s="18" t="n">
        <v>0</v>
      </c>
      <c r="V19" s="20" t="n">
        <v>0</v>
      </c>
      <c r="W19" s="18" t="n">
        <v>17.34841027</v>
      </c>
      <c r="X19" s="20" t="n">
        <v>2.35173427</v>
      </c>
    </row>
    <row r="20" spans="1:24">
      <c r="A20" s="15" t="s">
        <v>362</v>
      </c>
      <c r="B20" s="17" t="n">
        <v>1630</v>
      </c>
      <c r="C20" s="18">
        <f>(1422.0/B20*100)</f>
        <v/>
      </c>
      <c r="D20" s="19" t="n">
        <v>208</v>
      </c>
      <c r="E20" s="18" t="n">
        <v>18.35673531</v>
      </c>
      <c r="F20" s="20" t="n">
        <v>2.48787286</v>
      </c>
      <c r="G20" s="18" t="n">
        <v>7.77842639</v>
      </c>
      <c r="H20" s="20" t="n">
        <v>1.88266059</v>
      </c>
      <c r="I20" s="18" t="n">
        <v>10.43693204</v>
      </c>
      <c r="J20" s="20" t="n">
        <v>2.22966204</v>
      </c>
      <c r="K20" s="18" t="n">
        <v>2.76239368</v>
      </c>
      <c r="L20" s="20" t="n">
        <v>1.20402484</v>
      </c>
      <c r="M20" s="18" t="n">
        <v>51.47318697</v>
      </c>
      <c r="N20" s="20" t="n">
        <v>3.43803584</v>
      </c>
      <c r="O20" s="18" t="s">
        <v>349</v>
      </c>
      <c r="P20" s="20" t="s">
        <v>349</v>
      </c>
      <c r="Q20" s="18" t="n">
        <v>0.47361724</v>
      </c>
      <c r="R20" s="20" t="n">
        <v>0.48567141</v>
      </c>
      <c r="S20" s="18" t="n">
        <v>0</v>
      </c>
      <c r="T20" s="20" t="n">
        <v>0</v>
      </c>
      <c r="U20" s="18" t="n">
        <v>0</v>
      </c>
      <c r="V20" s="20" t="n">
        <v>0</v>
      </c>
      <c r="W20" s="18" t="n">
        <v>8.718708380000001</v>
      </c>
      <c r="X20" s="20" t="n">
        <v>2.3229778</v>
      </c>
    </row>
    <row r="21" spans="1:24">
      <c r="A21" s="15" t="s">
        <v>363</v>
      </c>
      <c r="B21" s="17" t="n">
        <v>2908</v>
      </c>
      <c r="C21" s="18">
        <f>(2436.0/B21*100)</f>
        <v/>
      </c>
      <c r="D21" s="19" t="n">
        <v>472</v>
      </c>
      <c r="E21" s="18" t="n">
        <v>14.73235364</v>
      </c>
      <c r="F21" s="20" t="n">
        <v>1.63206952</v>
      </c>
      <c r="G21" s="18" t="n">
        <v>6.20771879</v>
      </c>
      <c r="H21" s="20" t="n">
        <v>1.16969533</v>
      </c>
      <c r="I21" s="18" t="n">
        <v>12.21562889</v>
      </c>
      <c r="J21" s="20" t="n">
        <v>1.57589485</v>
      </c>
      <c r="K21" s="18" t="n">
        <v>0.60899389</v>
      </c>
      <c r="L21" s="20" t="n">
        <v>0.36048076</v>
      </c>
      <c r="M21" s="18" t="n">
        <v>60.8732262</v>
      </c>
      <c r="N21" s="20" t="n">
        <v>2.67403532</v>
      </c>
      <c r="O21" s="18" t="s">
        <v>349</v>
      </c>
      <c r="P21" s="20" t="s">
        <v>349</v>
      </c>
      <c r="Q21" s="18" t="n">
        <v>0.16771006</v>
      </c>
      <c r="R21" s="20" t="n">
        <v>0.16855019</v>
      </c>
      <c r="S21" s="18" t="n">
        <v>0</v>
      </c>
      <c r="T21" s="20" t="n">
        <v>0</v>
      </c>
      <c r="U21" s="18" t="n">
        <v>0</v>
      </c>
      <c r="V21" s="20" t="n">
        <v>0</v>
      </c>
      <c r="W21" s="18" t="n">
        <v>5.19436853</v>
      </c>
      <c r="X21" s="20" t="n">
        <v>1.01718004</v>
      </c>
    </row>
    <row r="22" spans="1:24">
      <c r="A22" s="15" t="s">
        <v>364</v>
      </c>
      <c r="B22" s="17" t="n">
        <v>2931</v>
      </c>
      <c r="C22" s="18">
        <f>(2577.0/B22*100)</f>
        <v/>
      </c>
      <c r="D22" s="19" t="n">
        <v>354</v>
      </c>
      <c r="E22" s="18" t="n">
        <v>22.98465885</v>
      </c>
      <c r="F22" s="20" t="n">
        <v>2.08738368</v>
      </c>
      <c r="G22" s="18" t="n">
        <v>3.34999682</v>
      </c>
      <c r="H22" s="20" t="n">
        <v>0.88268698</v>
      </c>
      <c r="I22" s="18" t="n">
        <v>7.41403202</v>
      </c>
      <c r="J22" s="20" t="n">
        <v>1.42018187</v>
      </c>
      <c r="K22" s="18" t="n">
        <v>2.56931487</v>
      </c>
      <c r="L22" s="20" t="n">
        <v>0.79194619</v>
      </c>
      <c r="M22" s="18" t="n">
        <v>45.64133064</v>
      </c>
      <c r="N22" s="20" t="n">
        <v>2.64273647</v>
      </c>
      <c r="O22" s="18" t="s">
        <v>349</v>
      </c>
      <c r="P22" s="20" t="s">
        <v>349</v>
      </c>
      <c r="Q22" s="18" t="n">
        <v>0.22449998</v>
      </c>
      <c r="R22" s="20" t="n">
        <v>0.22393105</v>
      </c>
      <c r="S22" s="18" t="n">
        <v>0</v>
      </c>
      <c r="T22" s="20" t="n">
        <v>0</v>
      </c>
      <c r="U22" s="18" t="n">
        <v>0</v>
      </c>
      <c r="V22" s="20" t="n">
        <v>0</v>
      </c>
      <c r="W22" s="18" t="n">
        <v>17.81616682</v>
      </c>
      <c r="X22" s="20" t="n">
        <v>2.25492735</v>
      </c>
    </row>
    <row r="23" spans="1:24">
      <c r="A23" s="15" t="s">
        <v>365</v>
      </c>
      <c r="B23" s="17" t="n">
        <v>5791</v>
      </c>
      <c r="C23" s="18">
        <f>(5101.0/B23*100)</f>
        <v/>
      </c>
      <c r="D23" s="19" t="n">
        <v>690</v>
      </c>
      <c r="E23" s="18" t="n">
        <v>14.0253922</v>
      </c>
      <c r="F23" s="20" t="n">
        <v>2.09762427</v>
      </c>
      <c r="G23" s="18" t="n">
        <v>9.17690816</v>
      </c>
      <c r="H23" s="20" t="n">
        <v>1.29711269</v>
      </c>
      <c r="I23" s="18" t="n">
        <v>3.8961769</v>
      </c>
      <c r="J23" s="20" t="n">
        <v>1.01985393</v>
      </c>
      <c r="K23" s="18" t="n">
        <v>1.67306588</v>
      </c>
      <c r="L23" s="20" t="n">
        <v>0.59580408</v>
      </c>
      <c r="M23" s="18" t="n">
        <v>51.75762587</v>
      </c>
      <c r="N23" s="20" t="n">
        <v>3.17033637</v>
      </c>
      <c r="O23" s="18" t="s">
        <v>349</v>
      </c>
      <c r="P23" s="20" t="s">
        <v>349</v>
      </c>
      <c r="Q23" s="18" t="n">
        <v>0</v>
      </c>
      <c r="R23" s="20" t="n">
        <v>0</v>
      </c>
      <c r="S23" s="18" t="n">
        <v>0</v>
      </c>
      <c r="T23" s="20" t="n">
        <v>0</v>
      </c>
      <c r="U23" s="18" t="n">
        <v>0</v>
      </c>
      <c r="V23" s="20" t="n">
        <v>0</v>
      </c>
      <c r="W23" s="18" t="n">
        <v>19.47083099</v>
      </c>
      <c r="X23" s="20" t="n">
        <v>2.16427562</v>
      </c>
    </row>
    <row r="24" spans="1:24">
      <c r="A24" s="15" t="s">
        <v>366</v>
      </c>
      <c r="B24" s="17" t="n">
        <v>3338</v>
      </c>
      <c r="C24" s="18">
        <f>(2933.0/B24*100)</f>
        <v/>
      </c>
      <c r="D24" s="19" t="n">
        <v>405</v>
      </c>
      <c r="E24" s="18" t="n">
        <v>12.59178</v>
      </c>
      <c r="F24" s="20" t="n">
        <v>1.51617726</v>
      </c>
      <c r="G24" s="18" t="n">
        <v>3.53520298</v>
      </c>
      <c r="H24" s="20" t="n">
        <v>0.95419295</v>
      </c>
      <c r="I24" s="18" t="n">
        <v>10.80823476</v>
      </c>
      <c r="J24" s="20" t="n">
        <v>1.48063288</v>
      </c>
      <c r="K24" s="18" t="n">
        <v>1.15785904</v>
      </c>
      <c r="L24" s="20" t="n">
        <v>0.49794619</v>
      </c>
      <c r="M24" s="18" t="n">
        <v>61.11823968</v>
      </c>
      <c r="N24" s="20" t="n">
        <v>2.76102165</v>
      </c>
      <c r="O24" s="18" t="s">
        <v>349</v>
      </c>
      <c r="P24" s="20" t="s">
        <v>349</v>
      </c>
      <c r="Q24" s="18" t="n">
        <v>0.25757992</v>
      </c>
      <c r="R24" s="20" t="n">
        <v>0.24825869</v>
      </c>
      <c r="S24" s="18" t="n">
        <v>0</v>
      </c>
      <c r="T24" s="20" t="n">
        <v>0</v>
      </c>
      <c r="U24" s="18" t="n">
        <v>0</v>
      </c>
      <c r="V24" s="20" t="n">
        <v>0</v>
      </c>
      <c r="W24" s="18" t="n">
        <v>10.53110362</v>
      </c>
      <c r="X24" s="20" t="n">
        <v>1.39564639</v>
      </c>
    </row>
    <row r="25" spans="1:24">
      <c r="A25" s="15" t="s">
        <v>367</v>
      </c>
      <c r="B25" s="17" t="n">
        <v>2912</v>
      </c>
      <c r="C25" s="18">
        <f>(2547.0/B25*100)</f>
        <v/>
      </c>
      <c r="D25" s="19" t="n">
        <v>365</v>
      </c>
      <c r="E25" s="18" t="n">
        <v>14.27423559</v>
      </c>
      <c r="F25" s="20" t="n">
        <v>1.56345341</v>
      </c>
      <c r="G25" s="18" t="n">
        <v>1.35497053</v>
      </c>
      <c r="H25" s="20" t="n">
        <v>0.6034332</v>
      </c>
      <c r="I25" s="18" t="n">
        <v>24.80929928</v>
      </c>
      <c r="J25" s="20" t="n">
        <v>2.18667859</v>
      </c>
      <c r="K25" s="18" t="n">
        <v>0.56251875</v>
      </c>
      <c r="L25" s="20" t="n">
        <v>0.39590016</v>
      </c>
      <c r="M25" s="18" t="n">
        <v>55.04591688</v>
      </c>
      <c r="N25" s="20" t="n">
        <v>2.86035701</v>
      </c>
      <c r="O25" s="18" t="s">
        <v>349</v>
      </c>
      <c r="P25" s="20" t="s">
        <v>349</v>
      </c>
      <c r="Q25" s="18" t="n">
        <v>0.25755105</v>
      </c>
      <c r="R25" s="20" t="n">
        <v>0.25725186</v>
      </c>
      <c r="S25" s="18" t="n">
        <v>0</v>
      </c>
      <c r="T25" s="20" t="n">
        <v>0</v>
      </c>
      <c r="U25" s="18" t="n">
        <v>0</v>
      </c>
      <c r="V25" s="20" t="n">
        <v>0</v>
      </c>
      <c r="W25" s="18" t="n">
        <v>3.69550792</v>
      </c>
      <c r="X25" s="20" t="n">
        <v>1.07025591</v>
      </c>
    </row>
    <row r="26" spans="1:24">
      <c r="A26" s="15" t="s">
        <v>368</v>
      </c>
      <c r="B26" s="17" t="n">
        <v>2450</v>
      </c>
      <c r="C26" s="18">
        <f>(2163.0/B26*100)</f>
        <v/>
      </c>
      <c r="D26" s="19" t="n">
        <v>287</v>
      </c>
      <c r="E26" s="18" t="n">
        <v>15.2862705</v>
      </c>
      <c r="F26" s="20" t="n">
        <v>2.41800453</v>
      </c>
      <c r="G26" s="18" t="n">
        <v>7.43269186</v>
      </c>
      <c r="H26" s="20" t="n">
        <v>1.68803588</v>
      </c>
      <c r="I26" s="18" t="n">
        <v>10.91929615</v>
      </c>
      <c r="J26" s="20" t="n">
        <v>1.94779467</v>
      </c>
      <c r="K26" s="18" t="n">
        <v>2.40621823</v>
      </c>
      <c r="L26" s="20" t="n">
        <v>1.0172879</v>
      </c>
      <c r="M26" s="18" t="n">
        <v>50.89997208</v>
      </c>
      <c r="N26" s="20" t="n">
        <v>3.13155957</v>
      </c>
      <c r="O26" s="18" t="s">
        <v>349</v>
      </c>
      <c r="P26" s="20" t="s">
        <v>349</v>
      </c>
      <c r="Q26" s="18" t="n">
        <v>0</v>
      </c>
      <c r="R26" s="20" t="n">
        <v>0</v>
      </c>
      <c r="S26" s="18" t="n">
        <v>0</v>
      </c>
      <c r="T26" s="20" t="n">
        <v>0</v>
      </c>
      <c r="U26" s="18" t="n">
        <v>0</v>
      </c>
      <c r="V26" s="20" t="n">
        <v>0</v>
      </c>
      <c r="W26" s="18" t="n">
        <v>13.05555118</v>
      </c>
      <c r="X26" s="20" t="n">
        <v>1.93126789</v>
      </c>
    </row>
    <row r="27" spans="1:24">
      <c r="A27" s="15" t="s">
        <v>369</v>
      </c>
      <c r="B27" s="17" t="n">
        <v>2616</v>
      </c>
      <c r="C27" s="18">
        <f>(2301.0/B27*100)</f>
        <v/>
      </c>
      <c r="D27" s="19" t="n">
        <v>315</v>
      </c>
      <c r="E27" s="18" t="n">
        <v>17.9589309</v>
      </c>
      <c r="F27" s="20" t="n">
        <v>2.05944189</v>
      </c>
      <c r="G27" s="18" t="n">
        <v>8.847009549999999</v>
      </c>
      <c r="H27" s="20" t="n">
        <v>1.81662027</v>
      </c>
      <c r="I27" s="18" t="n">
        <v>6.71080404</v>
      </c>
      <c r="J27" s="20" t="n">
        <v>1.44110717</v>
      </c>
      <c r="K27" s="18" t="n">
        <v>1.32013046</v>
      </c>
      <c r="L27" s="20" t="n">
        <v>0.67225104</v>
      </c>
      <c r="M27" s="18" t="n">
        <v>50.40928427</v>
      </c>
      <c r="N27" s="20" t="n">
        <v>2.59736591</v>
      </c>
      <c r="O27" s="18" t="s">
        <v>349</v>
      </c>
      <c r="P27" s="20" t="s">
        <v>349</v>
      </c>
      <c r="Q27" s="18" t="n">
        <v>0.31228529</v>
      </c>
      <c r="R27" s="20" t="n">
        <v>0.3124118</v>
      </c>
      <c r="S27" s="18" t="n">
        <v>0</v>
      </c>
      <c r="T27" s="20" t="n">
        <v>0</v>
      </c>
      <c r="U27" s="18" t="n">
        <v>0</v>
      </c>
      <c r="V27" s="20" t="n">
        <v>0</v>
      </c>
      <c r="W27" s="18" t="n">
        <v>14.44155549</v>
      </c>
      <c r="X27" s="20" t="n">
        <v>2.03679934</v>
      </c>
    </row>
    <row r="28" spans="1:24">
      <c r="A28" s="15" t="s">
        <v>370</v>
      </c>
      <c r="B28" s="17" t="n">
        <v>3765</v>
      </c>
      <c r="C28" s="18">
        <f>(3329.0/B28*100)</f>
        <v/>
      </c>
      <c r="D28" s="19" t="n">
        <v>436</v>
      </c>
      <c r="E28" s="18" t="n">
        <v>35.22494212</v>
      </c>
      <c r="F28" s="20" t="n">
        <v>2.74150233</v>
      </c>
      <c r="G28" s="18" t="n">
        <v>10.2049759</v>
      </c>
      <c r="H28" s="20" t="n">
        <v>1.59445541</v>
      </c>
      <c r="I28" s="18" t="n">
        <v>9.081256959999999</v>
      </c>
      <c r="J28" s="20" t="n">
        <v>1.5807336</v>
      </c>
      <c r="K28" s="18" t="n">
        <v>1.69220836</v>
      </c>
      <c r="L28" s="20" t="n">
        <v>0.57141223</v>
      </c>
      <c r="M28" s="18" t="n">
        <v>26.45644953</v>
      </c>
      <c r="N28" s="20" t="n">
        <v>2.56211814</v>
      </c>
      <c r="O28" s="18" t="s">
        <v>349</v>
      </c>
      <c r="P28" s="20" t="s">
        <v>349</v>
      </c>
      <c r="Q28" s="18" t="n">
        <v>0</v>
      </c>
      <c r="R28" s="20" t="n">
        <v>0</v>
      </c>
      <c r="S28" s="18" t="n">
        <v>1.87539911</v>
      </c>
      <c r="T28" s="20" t="n">
        <v>0.96124277</v>
      </c>
      <c r="U28" s="18" t="n">
        <v>0</v>
      </c>
      <c r="V28" s="20" t="n">
        <v>0</v>
      </c>
      <c r="W28" s="18" t="n">
        <v>15.46476802</v>
      </c>
      <c r="X28" s="20" t="n">
        <v>2.29114592</v>
      </c>
    </row>
    <row r="29" spans="1:24">
      <c r="A29" s="15" t="s">
        <v>371</v>
      </c>
      <c r="B29" s="17" t="n">
        <v>2685</v>
      </c>
      <c r="C29" s="18">
        <f>(2356.0/B29*100)</f>
        <v/>
      </c>
      <c r="D29" s="19" t="n">
        <v>329</v>
      </c>
      <c r="E29" s="18" t="n">
        <v>14.53826821</v>
      </c>
      <c r="F29" s="20" t="n">
        <v>1.68170927</v>
      </c>
      <c r="G29" s="18" t="n">
        <v>9.15456008</v>
      </c>
      <c r="H29" s="20" t="n">
        <v>1.67645425</v>
      </c>
      <c r="I29" s="18" t="n">
        <v>3.92289521</v>
      </c>
      <c r="J29" s="20" t="n">
        <v>0.96087363</v>
      </c>
      <c r="K29" s="18" t="n">
        <v>0.60146406</v>
      </c>
      <c r="L29" s="20" t="n">
        <v>0.4349363</v>
      </c>
      <c r="M29" s="18" t="n">
        <v>66.45907633</v>
      </c>
      <c r="N29" s="20" t="n">
        <v>2.6509293</v>
      </c>
      <c r="O29" s="18" t="s">
        <v>349</v>
      </c>
      <c r="P29" s="20" t="s">
        <v>349</v>
      </c>
      <c r="Q29" s="18" t="n">
        <v>0.46608547</v>
      </c>
      <c r="R29" s="20" t="n">
        <v>0.41672735</v>
      </c>
      <c r="S29" s="18" t="n">
        <v>0.25488297</v>
      </c>
      <c r="T29" s="20" t="n">
        <v>0.25465175</v>
      </c>
      <c r="U29" s="18" t="n">
        <v>0</v>
      </c>
      <c r="V29" s="20" t="n">
        <v>0</v>
      </c>
      <c r="W29" s="18" t="n">
        <v>4.60276767</v>
      </c>
      <c r="X29" s="20" t="n">
        <v>1.4658096</v>
      </c>
    </row>
    <row r="30" spans="1:24">
      <c r="A30" s="15" t="s">
        <v>372</v>
      </c>
      <c r="B30" s="17" t="n">
        <v>2263</v>
      </c>
      <c r="C30" s="18">
        <f>(1990.0/B30*100)</f>
        <v/>
      </c>
      <c r="D30" s="19" t="n">
        <v>273</v>
      </c>
      <c r="E30" s="18" t="n">
        <v>15.08741637</v>
      </c>
      <c r="F30" s="20" t="n">
        <v>2.12658292</v>
      </c>
      <c r="G30" s="18" t="n">
        <v>6.11022395</v>
      </c>
      <c r="H30" s="20" t="n">
        <v>1.51728748</v>
      </c>
      <c r="I30" s="18" t="n">
        <v>7.25627326</v>
      </c>
      <c r="J30" s="20" t="n">
        <v>1.69120044</v>
      </c>
      <c r="K30" s="18" t="n">
        <v>3.72989541</v>
      </c>
      <c r="L30" s="20" t="n">
        <v>1.10133144</v>
      </c>
      <c r="M30" s="18" t="n">
        <v>59.24712998</v>
      </c>
      <c r="N30" s="20" t="n">
        <v>2.84531059</v>
      </c>
      <c r="O30" s="18" t="s">
        <v>349</v>
      </c>
      <c r="P30" s="20" t="s">
        <v>349</v>
      </c>
      <c r="Q30" s="18" t="n">
        <v>0.22652691</v>
      </c>
      <c r="R30" s="20" t="n">
        <v>0.22826275</v>
      </c>
      <c r="S30" s="18" t="n">
        <v>0.85769728</v>
      </c>
      <c r="T30" s="20" t="n">
        <v>0.69194278</v>
      </c>
      <c r="U30" s="18" t="n">
        <v>0</v>
      </c>
      <c r="V30" s="20" t="n">
        <v>0</v>
      </c>
      <c r="W30" s="18" t="n">
        <v>7.48483684</v>
      </c>
      <c r="X30" s="20" t="n">
        <v>1.75668191</v>
      </c>
    </row>
    <row r="31" spans="1:24">
      <c r="A31" s="15" t="s">
        <v>373</v>
      </c>
      <c r="B31" s="17" t="n">
        <v>2750</v>
      </c>
      <c r="C31" s="18">
        <f>(2394.0/B31*100)</f>
        <v/>
      </c>
      <c r="D31" s="19" t="n">
        <v>356</v>
      </c>
      <c r="E31" s="18" t="n">
        <v>16.76868907</v>
      </c>
      <c r="F31" s="20" t="n">
        <v>2.1909269</v>
      </c>
      <c r="G31" s="18" t="n">
        <v>10.97417314</v>
      </c>
      <c r="H31" s="20" t="n">
        <v>1.83942364</v>
      </c>
      <c r="I31" s="18" t="n">
        <v>5.19155375</v>
      </c>
      <c r="J31" s="20" t="n">
        <v>1.15994167</v>
      </c>
      <c r="K31" s="18" t="n">
        <v>1.28301457</v>
      </c>
      <c r="L31" s="20" t="n">
        <v>0.57906874</v>
      </c>
      <c r="M31" s="18" t="n">
        <v>55.22085216</v>
      </c>
      <c r="N31" s="20" t="n">
        <v>2.41891145</v>
      </c>
      <c r="O31" s="18" t="s">
        <v>349</v>
      </c>
      <c r="P31" s="20" t="s">
        <v>349</v>
      </c>
      <c r="Q31" s="18" t="n">
        <v>0</v>
      </c>
      <c r="R31" s="20" t="n">
        <v>0</v>
      </c>
      <c r="S31" s="18" t="n">
        <v>0</v>
      </c>
      <c r="T31" s="20" t="n">
        <v>0</v>
      </c>
      <c r="U31" s="18" t="n">
        <v>0</v>
      </c>
      <c r="V31" s="20" t="n">
        <v>0</v>
      </c>
      <c r="W31" s="18" t="n">
        <v>10.56171732</v>
      </c>
      <c r="X31" s="20" t="n">
        <v>1.5565482</v>
      </c>
    </row>
    <row r="32" spans="1:24">
      <c r="A32" s="15" t="s">
        <v>374</v>
      </c>
      <c r="B32" s="17" t="n">
        <v>2269</v>
      </c>
      <c r="C32" s="18">
        <f>(1901.0/B32*100)</f>
        <v/>
      </c>
      <c r="D32" s="19" t="n">
        <v>368</v>
      </c>
      <c r="E32" s="18" t="n">
        <v>14.05262414</v>
      </c>
      <c r="F32" s="20" t="n">
        <v>1.8628834</v>
      </c>
      <c r="G32" s="18" t="n">
        <v>4.24081026</v>
      </c>
      <c r="H32" s="20" t="n">
        <v>1.18161297</v>
      </c>
      <c r="I32" s="18" t="n">
        <v>14.01004707</v>
      </c>
      <c r="J32" s="20" t="n">
        <v>2.12084475</v>
      </c>
      <c r="K32" s="18" t="n">
        <v>2.24617934</v>
      </c>
      <c r="L32" s="20" t="n">
        <v>0.81003995</v>
      </c>
      <c r="M32" s="18" t="n">
        <v>58.39833523</v>
      </c>
      <c r="N32" s="20" t="n">
        <v>2.46626434</v>
      </c>
      <c r="O32" s="18" t="s">
        <v>349</v>
      </c>
      <c r="P32" s="20" t="s">
        <v>349</v>
      </c>
      <c r="Q32" s="18" t="n">
        <v>0</v>
      </c>
      <c r="R32" s="20" t="n">
        <v>0</v>
      </c>
      <c r="S32" s="18" t="n">
        <v>0</v>
      </c>
      <c r="T32" s="20" t="n">
        <v>0</v>
      </c>
      <c r="U32" s="18" t="n">
        <v>0</v>
      </c>
      <c r="V32" s="20" t="n">
        <v>0</v>
      </c>
      <c r="W32" s="18" t="n">
        <v>7.05200396</v>
      </c>
      <c r="X32" s="20" t="n">
        <v>1.40501761</v>
      </c>
    </row>
    <row r="33" spans="1:24">
      <c r="A33" s="15" t="s">
        <v>375</v>
      </c>
      <c r="B33" s="17" t="n">
        <v>3674</v>
      </c>
      <c r="C33" s="18">
        <f>(3211.0/B33*100)</f>
        <v/>
      </c>
      <c r="D33" s="19" t="n">
        <v>463</v>
      </c>
      <c r="E33" s="18" t="n">
        <v>16.34670761</v>
      </c>
      <c r="F33" s="20" t="n">
        <v>2.06977262</v>
      </c>
      <c r="G33" s="18" t="n">
        <v>7.35121378</v>
      </c>
      <c r="H33" s="20" t="n">
        <v>1.54405296</v>
      </c>
      <c r="I33" s="18" t="n">
        <v>8.14190531</v>
      </c>
      <c r="J33" s="20" t="n">
        <v>1.35870932</v>
      </c>
      <c r="K33" s="18" t="n">
        <v>3.60634799</v>
      </c>
      <c r="L33" s="20" t="n">
        <v>1.0382249</v>
      </c>
      <c r="M33" s="18" t="n">
        <v>49.89012628</v>
      </c>
      <c r="N33" s="20" t="n">
        <v>2.69985989</v>
      </c>
      <c r="O33" s="18" t="s">
        <v>349</v>
      </c>
      <c r="P33" s="20" t="s">
        <v>349</v>
      </c>
      <c r="Q33" s="18" t="n">
        <v>0.48441024</v>
      </c>
      <c r="R33" s="20" t="n">
        <v>0.30543182</v>
      </c>
      <c r="S33" s="18" t="n">
        <v>0</v>
      </c>
      <c r="T33" s="20" t="n">
        <v>0</v>
      </c>
      <c r="U33" s="18" t="n">
        <v>0</v>
      </c>
      <c r="V33" s="20" t="n">
        <v>0</v>
      </c>
      <c r="W33" s="18" t="n">
        <v>14.17928879</v>
      </c>
      <c r="X33" s="20" t="n">
        <v>2.0345679</v>
      </c>
    </row>
    <row r="34" spans="1:24">
      <c r="A34" s="15" t="s">
        <v>376</v>
      </c>
      <c r="B34" s="17" t="n">
        <v>3315</v>
      </c>
      <c r="C34" s="18">
        <f>(2906.0/B34*100)</f>
        <v/>
      </c>
      <c r="D34" s="19" t="n">
        <v>409</v>
      </c>
      <c r="E34" s="18" t="n">
        <v>21.73419973</v>
      </c>
      <c r="F34" s="20" t="n">
        <v>2.0097552</v>
      </c>
      <c r="G34" s="18" t="n">
        <v>5.17969001</v>
      </c>
      <c r="H34" s="20" t="n">
        <v>1.0457428</v>
      </c>
      <c r="I34" s="18" t="n">
        <v>8.066014559999999</v>
      </c>
      <c r="J34" s="20" t="n">
        <v>1.50531948</v>
      </c>
      <c r="K34" s="18" t="n">
        <v>0.45264803</v>
      </c>
      <c r="L34" s="20" t="n">
        <v>0.31824648</v>
      </c>
      <c r="M34" s="18" t="n">
        <v>50.2174804</v>
      </c>
      <c r="N34" s="20" t="n">
        <v>2.52381303</v>
      </c>
      <c r="O34" s="18" t="s">
        <v>349</v>
      </c>
      <c r="P34" s="20" t="s">
        <v>349</v>
      </c>
      <c r="Q34" s="18" t="n">
        <v>0.36616154</v>
      </c>
      <c r="R34" s="20" t="n">
        <v>0.36188611</v>
      </c>
      <c r="S34" s="18" t="n">
        <v>0</v>
      </c>
      <c r="T34" s="20" t="n">
        <v>0</v>
      </c>
      <c r="U34" s="18" t="n">
        <v>0</v>
      </c>
      <c r="V34" s="20" t="n">
        <v>0</v>
      </c>
      <c r="W34" s="18" t="n">
        <v>13.98380572</v>
      </c>
      <c r="X34" s="20" t="n">
        <v>1.71621477</v>
      </c>
    </row>
    <row r="35" spans="1:24">
      <c r="A35" s="15" t="s">
        <v>377</v>
      </c>
      <c r="B35" s="17" t="n">
        <v>3505</v>
      </c>
      <c r="C35" s="18">
        <f>(3092.0/B35*100)</f>
        <v/>
      </c>
      <c r="D35" s="19" t="n">
        <v>413</v>
      </c>
      <c r="E35" s="18" t="n">
        <v>14.20757412</v>
      </c>
      <c r="F35" s="20" t="n">
        <v>1.69822179</v>
      </c>
      <c r="G35" s="18" t="n">
        <v>5.06793376</v>
      </c>
      <c r="H35" s="20" t="n">
        <v>1.27506861</v>
      </c>
      <c r="I35" s="18" t="n">
        <v>11.2826035</v>
      </c>
      <c r="J35" s="20" t="n">
        <v>1.67803098</v>
      </c>
      <c r="K35" s="18" t="n">
        <v>0.95982592</v>
      </c>
      <c r="L35" s="20" t="n">
        <v>0.50295508</v>
      </c>
      <c r="M35" s="18" t="n">
        <v>61.94183793</v>
      </c>
      <c r="N35" s="20" t="n">
        <v>2.7988441</v>
      </c>
      <c r="O35" s="18" t="s">
        <v>349</v>
      </c>
      <c r="P35" s="20" t="s">
        <v>349</v>
      </c>
      <c r="Q35" s="18" t="n">
        <v>0</v>
      </c>
      <c r="R35" s="20" t="n">
        <v>0</v>
      </c>
      <c r="S35" s="18" t="n">
        <v>0</v>
      </c>
      <c r="T35" s="20" t="n">
        <v>0</v>
      </c>
      <c r="U35" s="18" t="n">
        <v>0</v>
      </c>
      <c r="V35" s="20" t="n">
        <v>0</v>
      </c>
      <c r="W35" s="18" t="n">
        <v>6.54022476</v>
      </c>
      <c r="X35" s="20" t="n">
        <v>1.49573904</v>
      </c>
    </row>
    <row r="36" spans="1:24">
      <c r="A36" s="15" t="s">
        <v>378</v>
      </c>
      <c r="B36" s="17" t="n">
        <v>3332</v>
      </c>
      <c r="C36" s="18">
        <f>(2923.0/B36*100)</f>
        <v/>
      </c>
      <c r="D36" s="19" t="n">
        <v>409</v>
      </c>
      <c r="E36" s="18" t="n">
        <v>14.18561842</v>
      </c>
      <c r="F36" s="20" t="n">
        <v>1.79208395</v>
      </c>
      <c r="G36" s="18" t="n">
        <v>9.699311010000001</v>
      </c>
      <c r="H36" s="20" t="n">
        <v>1.58036665</v>
      </c>
      <c r="I36" s="18" t="n">
        <v>7.96799626</v>
      </c>
      <c r="J36" s="20" t="n">
        <v>1.50016144</v>
      </c>
      <c r="K36" s="18" t="n">
        <v>2.98492954</v>
      </c>
      <c r="L36" s="20" t="n">
        <v>0.92380669</v>
      </c>
      <c r="M36" s="18" t="n">
        <v>48.39703389</v>
      </c>
      <c r="N36" s="20" t="n">
        <v>2.64956523</v>
      </c>
      <c r="O36" s="18" t="s">
        <v>349</v>
      </c>
      <c r="P36" s="20" t="s">
        <v>349</v>
      </c>
      <c r="Q36" s="18" t="n">
        <v>0.59005568</v>
      </c>
      <c r="R36" s="20" t="n">
        <v>0.48180385</v>
      </c>
      <c r="S36" s="18" t="n">
        <v>0</v>
      </c>
      <c r="T36" s="20" t="n">
        <v>0</v>
      </c>
      <c r="U36" s="18" t="n">
        <v>0</v>
      </c>
      <c r="V36" s="20" t="n">
        <v>0</v>
      </c>
      <c r="W36" s="18" t="n">
        <v>16.17505521</v>
      </c>
      <c r="X36" s="20" t="n">
        <v>1.65937024</v>
      </c>
    </row>
    <row r="37" spans="1:24">
      <c r="A37" s="15" t="s">
        <v>379</v>
      </c>
      <c r="B37" s="17" t="n">
        <v>2727</v>
      </c>
      <c r="C37" s="18">
        <f>(2421.0/B37*100)</f>
        <v/>
      </c>
      <c r="D37" s="19" t="n">
        <v>306</v>
      </c>
      <c r="E37" s="18" t="n">
        <v>20.10112669</v>
      </c>
      <c r="F37" s="20" t="n">
        <v>2.73422735</v>
      </c>
      <c r="G37" s="18" t="n">
        <v>7.03099369</v>
      </c>
      <c r="H37" s="20" t="n">
        <v>1.67484086</v>
      </c>
      <c r="I37" s="18" t="n">
        <v>7.60930697</v>
      </c>
      <c r="J37" s="20" t="n">
        <v>1.38122492</v>
      </c>
      <c r="K37" s="18" t="n">
        <v>0.71282714</v>
      </c>
      <c r="L37" s="20" t="n">
        <v>0.50455607</v>
      </c>
      <c r="M37" s="18" t="n">
        <v>51.73458075</v>
      </c>
      <c r="N37" s="20" t="n">
        <v>3.41190518</v>
      </c>
      <c r="O37" s="18" t="s">
        <v>349</v>
      </c>
      <c r="P37" s="20" t="s">
        <v>349</v>
      </c>
      <c r="Q37" s="18" t="n">
        <v>1.03929963</v>
      </c>
      <c r="R37" s="20" t="n">
        <v>0.5858559</v>
      </c>
      <c r="S37" s="18" t="n">
        <v>0</v>
      </c>
      <c r="T37" s="20" t="n">
        <v>0</v>
      </c>
      <c r="U37" s="18" t="n">
        <v>0</v>
      </c>
      <c r="V37" s="20" t="n">
        <v>0</v>
      </c>
      <c r="W37" s="18" t="n">
        <v>11.77186513</v>
      </c>
      <c r="X37" s="20" t="n">
        <v>1.99105494</v>
      </c>
    </row>
    <row r="38" spans="1:24">
      <c r="A38" s="15" t="s">
        <v>380</v>
      </c>
      <c r="B38" s="17" t="n">
        <v>3053</v>
      </c>
      <c r="C38" s="18">
        <f>(2555.0/B38*100)</f>
        <v/>
      </c>
      <c r="D38" s="19" t="n">
        <v>498</v>
      </c>
      <c r="E38" s="18" t="n">
        <v>14.33619965</v>
      </c>
      <c r="F38" s="20" t="n">
        <v>1.64672285</v>
      </c>
      <c r="G38" s="18" t="n">
        <v>6.01406935</v>
      </c>
      <c r="H38" s="20" t="n">
        <v>1.20692902</v>
      </c>
      <c r="I38" s="18" t="n">
        <v>5.98441922</v>
      </c>
      <c r="J38" s="20" t="n">
        <v>1.23289125</v>
      </c>
      <c r="K38" s="18" t="n">
        <v>0.42662667</v>
      </c>
      <c r="L38" s="20" t="n">
        <v>0.28475353</v>
      </c>
      <c r="M38" s="18" t="n">
        <v>63.77858787</v>
      </c>
      <c r="N38" s="20" t="n">
        <v>2.41283382</v>
      </c>
      <c r="O38" s="18" t="s">
        <v>349</v>
      </c>
      <c r="P38" s="20" t="s">
        <v>349</v>
      </c>
      <c r="Q38" s="18" t="n">
        <v>0.46883796</v>
      </c>
      <c r="R38" s="20" t="n">
        <v>0.32084899</v>
      </c>
      <c r="S38" s="18" t="n">
        <v>0</v>
      </c>
      <c r="T38" s="20" t="n">
        <v>0</v>
      </c>
      <c r="U38" s="18" t="n">
        <v>0</v>
      </c>
      <c r="V38" s="20" t="n">
        <v>0</v>
      </c>
      <c r="W38" s="18" t="n">
        <v>8.99125928</v>
      </c>
      <c r="X38" s="20" t="n">
        <v>1.21076666</v>
      </c>
    </row>
    <row r="39" spans="1:24">
      <c r="A39" s="15" t="s">
        <v>381</v>
      </c>
      <c r="B39" s="17" t="n">
        <v>2957</v>
      </c>
      <c r="C39" s="18">
        <f>(2594.0/B39*100)</f>
        <v/>
      </c>
      <c r="D39" s="19" t="n">
        <v>363</v>
      </c>
      <c r="E39" s="18" t="n">
        <v>26.25778182</v>
      </c>
      <c r="F39" s="20" t="n">
        <v>2.71971993</v>
      </c>
      <c r="G39" s="18" t="n">
        <v>6.58916042</v>
      </c>
      <c r="H39" s="20" t="n">
        <v>1.21120301</v>
      </c>
      <c r="I39" s="18" t="n">
        <v>13.78306473</v>
      </c>
      <c r="J39" s="20" t="n">
        <v>2.06764651</v>
      </c>
      <c r="K39" s="18" t="n">
        <v>3.42678342</v>
      </c>
      <c r="L39" s="20" t="n">
        <v>0.84212055</v>
      </c>
      <c r="M39" s="18" t="n">
        <v>31.97905525</v>
      </c>
      <c r="N39" s="20" t="n">
        <v>3.00643637</v>
      </c>
      <c r="O39" s="18" t="s">
        <v>349</v>
      </c>
      <c r="P39" s="20" t="s">
        <v>349</v>
      </c>
      <c r="Q39" s="18" t="n">
        <v>0</v>
      </c>
      <c r="R39" s="20" t="n">
        <v>0</v>
      </c>
      <c r="S39" s="18" t="n">
        <v>0</v>
      </c>
      <c r="T39" s="20" t="n">
        <v>0</v>
      </c>
      <c r="U39" s="18" t="n">
        <v>0</v>
      </c>
      <c r="V39" s="20" t="n">
        <v>0</v>
      </c>
      <c r="W39" s="18" t="n">
        <v>17.96415435</v>
      </c>
      <c r="X39" s="20" t="n">
        <v>2.38582349</v>
      </c>
    </row>
    <row r="40" spans="1:24">
      <c r="A40" s="15" t="s">
        <v>382</v>
      </c>
      <c r="B40" s="17" t="n">
        <v>7235</v>
      </c>
      <c r="C40" s="18">
        <f>(6328.0/B40*100)</f>
        <v/>
      </c>
      <c r="D40" s="19" t="n">
        <v>907</v>
      </c>
      <c r="E40" s="18" t="n">
        <v>18.96708587</v>
      </c>
      <c r="F40" s="20" t="n">
        <v>1.94905169</v>
      </c>
      <c r="G40" s="18" t="n">
        <v>6.60987519</v>
      </c>
      <c r="H40" s="20" t="n">
        <v>1.52577624</v>
      </c>
      <c r="I40" s="18" t="n">
        <v>9.48779644</v>
      </c>
      <c r="J40" s="20" t="n">
        <v>1.40707828</v>
      </c>
      <c r="K40" s="18" t="n">
        <v>2.44936614</v>
      </c>
      <c r="L40" s="20" t="n">
        <v>0.89671527</v>
      </c>
      <c r="M40" s="18" t="n">
        <v>55.06972908</v>
      </c>
      <c r="N40" s="20" t="n">
        <v>2.7321098</v>
      </c>
      <c r="O40" s="18" t="s">
        <v>349</v>
      </c>
      <c r="P40" s="20" t="s">
        <v>349</v>
      </c>
      <c r="Q40" s="18" t="n">
        <v>0.57328461</v>
      </c>
      <c r="R40" s="20" t="n">
        <v>0.5157613</v>
      </c>
      <c r="S40" s="18" t="n">
        <v>0.08548332</v>
      </c>
      <c r="T40" s="20" t="n">
        <v>0.08275231</v>
      </c>
      <c r="U40" s="18" t="n">
        <v>0</v>
      </c>
      <c r="V40" s="20" t="n">
        <v>0</v>
      </c>
      <c r="W40" s="18" t="n">
        <v>6.75737934</v>
      </c>
      <c r="X40" s="20" t="n">
        <v>1.02858547</v>
      </c>
    </row>
    <row r="41" spans="1:24">
      <c r="A41" s="15" t="s">
        <v>383</v>
      </c>
      <c r="B41" s="17" t="n">
        <v>2858</v>
      </c>
      <c r="C41" s="18">
        <f>(2534.0/B41*100)</f>
        <v/>
      </c>
      <c r="D41" s="19" t="n">
        <v>324</v>
      </c>
      <c r="E41" s="18" t="n">
        <v>35.6898226</v>
      </c>
      <c r="F41" s="20" t="n">
        <v>3.06110854</v>
      </c>
      <c r="G41" s="18" t="n">
        <v>9.85095477</v>
      </c>
      <c r="H41" s="20" t="n">
        <v>1.50967082</v>
      </c>
      <c r="I41" s="18" t="n">
        <v>6.06762163</v>
      </c>
      <c r="J41" s="20" t="n">
        <v>1.34108217</v>
      </c>
      <c r="K41" s="18" t="n">
        <v>0</v>
      </c>
      <c r="L41" s="20" t="n">
        <v>0</v>
      </c>
      <c r="M41" s="18" t="n">
        <v>45.83581542</v>
      </c>
      <c r="N41" s="20" t="n">
        <v>3.47890864</v>
      </c>
      <c r="O41" s="18" t="s">
        <v>349</v>
      </c>
      <c r="P41" s="20" t="s">
        <v>349</v>
      </c>
      <c r="Q41" s="18" t="n">
        <v>0.28607637</v>
      </c>
      <c r="R41" s="20" t="n">
        <v>0.27802975</v>
      </c>
      <c r="S41" s="18" t="n">
        <v>0</v>
      </c>
      <c r="T41" s="20" t="n">
        <v>0</v>
      </c>
      <c r="U41" s="18" t="n">
        <v>0</v>
      </c>
      <c r="V41" s="20" t="n">
        <v>0</v>
      </c>
      <c r="W41" s="18" t="n">
        <v>2.26970922</v>
      </c>
      <c r="X41" s="20" t="n">
        <v>0.8919435100000001</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row>
    <row r="45" spans="1:24">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11068</v>
      </c>
      <c r="C46" s="18">
        <f>(9849.0/B46*100)</f>
        <v/>
      </c>
      <c r="D46" s="19" t="n">
        <v>1219</v>
      </c>
      <c r="E46" s="18" t="n">
        <v>37.32167965</v>
      </c>
      <c r="F46" s="20" t="n">
        <v>1.75096425</v>
      </c>
      <c r="G46" s="18" t="n">
        <v>5.92093452</v>
      </c>
      <c r="H46" s="20" t="n">
        <v>0.94295122</v>
      </c>
      <c r="I46" s="18" t="n">
        <v>2.37922245</v>
      </c>
      <c r="J46" s="20" t="n">
        <v>0.58385581</v>
      </c>
      <c r="K46" s="18" t="n">
        <v>0.65801199</v>
      </c>
      <c r="L46" s="20" t="n">
        <v>0.33074905</v>
      </c>
      <c r="M46" s="18" t="n">
        <v>22.06978611</v>
      </c>
      <c r="N46" s="20" t="n">
        <v>1.62940295</v>
      </c>
      <c r="O46" s="18" t="s">
        <v>349</v>
      </c>
      <c r="P46" s="20" t="s">
        <v>349</v>
      </c>
      <c r="Q46" s="18" t="n">
        <v>0.73002624</v>
      </c>
      <c r="R46" s="20" t="n">
        <v>0.31601977</v>
      </c>
      <c r="S46" s="18" t="n">
        <v>0.28695177</v>
      </c>
      <c r="T46" s="20" t="n">
        <v>0.21974521</v>
      </c>
      <c r="U46" s="18" t="n">
        <v>0</v>
      </c>
      <c r="V46" s="20" t="n">
        <v>0</v>
      </c>
      <c r="W46" s="18" t="n">
        <v>30.63338727</v>
      </c>
      <c r="X46" s="20" t="n">
        <v>1.94606503</v>
      </c>
    </row>
    <row r="47" spans="1:24">
      <c r="A47" s="15" t="s">
        <v>389</v>
      </c>
      <c r="B47" s="17" t="n">
        <v>3105</v>
      </c>
      <c r="C47" s="18">
        <f>(2731.0/B47*100)</f>
        <v/>
      </c>
      <c r="D47" s="19" t="n">
        <v>374</v>
      </c>
      <c r="E47" s="18" t="n">
        <v>32.0905837</v>
      </c>
      <c r="F47" s="20" t="n">
        <v>2.52436793</v>
      </c>
      <c r="G47" s="18" t="n">
        <v>10.62543452</v>
      </c>
      <c r="H47" s="20" t="n">
        <v>1.6813695</v>
      </c>
      <c r="I47" s="18" t="n">
        <v>3.39750904</v>
      </c>
      <c r="J47" s="20" t="n">
        <v>1.42691114</v>
      </c>
      <c r="K47" s="18" t="n">
        <v>1.06068952</v>
      </c>
      <c r="L47" s="20" t="n">
        <v>0.39186004</v>
      </c>
      <c r="M47" s="18" t="n">
        <v>31.96159637</v>
      </c>
      <c r="N47" s="20" t="n">
        <v>2.77532333</v>
      </c>
      <c r="O47" s="18" t="s">
        <v>349</v>
      </c>
      <c r="P47" s="20" t="s">
        <v>349</v>
      </c>
      <c r="Q47" s="18" t="n">
        <v>0.77641605</v>
      </c>
      <c r="R47" s="20" t="n">
        <v>0.44744731</v>
      </c>
      <c r="S47" s="18" t="n">
        <v>0</v>
      </c>
      <c r="T47" s="20" t="n">
        <v>0</v>
      </c>
      <c r="U47" s="18" t="n">
        <v>0</v>
      </c>
      <c r="V47" s="20" t="n">
        <v>0</v>
      </c>
      <c r="W47" s="18" t="n">
        <v>20.08777081</v>
      </c>
      <c r="X47" s="20" t="n">
        <v>2.16284496</v>
      </c>
    </row>
    <row r="48" spans="1:24">
      <c r="A48" s="15" t="s">
        <v>390</v>
      </c>
      <c r="B48" s="17" t="n">
        <v>5159</v>
      </c>
      <c r="C48" s="18">
        <f>(4501.0/B48*100)</f>
        <v/>
      </c>
      <c r="D48" s="19" t="n">
        <v>658</v>
      </c>
      <c r="E48" s="18" t="n">
        <v>18.24795267</v>
      </c>
      <c r="F48" s="20" t="n">
        <v>2.38195912</v>
      </c>
      <c r="G48" s="18" t="n">
        <v>1.90919832</v>
      </c>
      <c r="H48" s="20" t="n">
        <v>0.63763833</v>
      </c>
      <c r="I48" s="18" t="n">
        <v>5.41167587</v>
      </c>
      <c r="J48" s="20" t="n">
        <v>1.13341744</v>
      </c>
      <c r="K48" s="18" t="n">
        <v>3.33094838</v>
      </c>
      <c r="L48" s="20" t="n">
        <v>0.90342734</v>
      </c>
      <c r="M48" s="18" t="n">
        <v>60.57962315</v>
      </c>
      <c r="N48" s="20" t="n">
        <v>2.67125509</v>
      </c>
      <c r="O48" s="18" t="s">
        <v>349</v>
      </c>
      <c r="P48" s="20" t="s">
        <v>349</v>
      </c>
      <c r="Q48" s="18" t="n">
        <v>0.28666618</v>
      </c>
      <c r="R48" s="20" t="n">
        <v>0.21359002</v>
      </c>
      <c r="S48" s="18" t="n">
        <v>0</v>
      </c>
      <c r="T48" s="20" t="n">
        <v>0</v>
      </c>
      <c r="U48" s="18" t="n">
        <v>0</v>
      </c>
      <c r="V48" s="20" t="n">
        <v>0</v>
      </c>
      <c r="W48" s="18" t="n">
        <v>10.23393544</v>
      </c>
      <c r="X48" s="20" t="n">
        <v>1.53506936</v>
      </c>
    </row>
    <row r="49" spans="1:24">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5637</v>
      </c>
      <c r="C50" s="18">
        <f>(4962.0/B50*100)</f>
        <v/>
      </c>
      <c r="D50" s="19" t="n">
        <v>675</v>
      </c>
      <c r="E50" s="18" t="n">
        <v>46.70461263</v>
      </c>
      <c r="F50" s="20" t="n">
        <v>3.12785117</v>
      </c>
      <c r="G50" s="18" t="n">
        <v>6.54936875</v>
      </c>
      <c r="H50" s="20" t="n">
        <v>1.16708913</v>
      </c>
      <c r="I50" s="18" t="n">
        <v>6.80850829</v>
      </c>
      <c r="J50" s="20" t="n">
        <v>1.77015137</v>
      </c>
      <c r="K50" s="18" t="n">
        <v>0.68146453</v>
      </c>
      <c r="L50" s="20" t="n">
        <v>0.33632924</v>
      </c>
      <c r="M50" s="18" t="n">
        <v>20.50915778</v>
      </c>
      <c r="N50" s="20" t="n">
        <v>2.11247756</v>
      </c>
      <c r="O50" s="18" t="s">
        <v>349</v>
      </c>
      <c r="P50" s="20" t="s">
        <v>349</v>
      </c>
      <c r="Q50" s="18" t="n">
        <v>0.2682332</v>
      </c>
      <c r="R50" s="20" t="n">
        <v>0.24535741</v>
      </c>
      <c r="S50" s="18" t="n">
        <v>1.2314486</v>
      </c>
      <c r="T50" s="20" t="n">
        <v>0.47832257</v>
      </c>
      <c r="U50" s="18" t="n">
        <v>0</v>
      </c>
      <c r="V50" s="20" t="n">
        <v>0</v>
      </c>
      <c r="W50" s="18" t="n">
        <v>17.24720622</v>
      </c>
      <c r="X50" s="20" t="n">
        <v>2.06831165</v>
      </c>
    </row>
    <row r="51" spans="1:24">
      <c r="A51" s="15" t="s">
        <v>393</v>
      </c>
      <c r="B51" s="17" t="n">
        <v>3372</v>
      </c>
      <c r="C51" s="18">
        <f>(3027.0/B51*100)</f>
        <v/>
      </c>
      <c r="D51" s="19" t="n">
        <v>345</v>
      </c>
      <c r="E51" s="18" t="n">
        <v>32.26501573</v>
      </c>
      <c r="F51" s="20" t="n">
        <v>2.54188477</v>
      </c>
      <c r="G51" s="18" t="n">
        <v>14.67100767</v>
      </c>
      <c r="H51" s="20" t="n">
        <v>1.90708087</v>
      </c>
      <c r="I51" s="18" t="n">
        <v>5.20249061</v>
      </c>
      <c r="J51" s="20" t="n">
        <v>1.43384608</v>
      </c>
      <c r="K51" s="18" t="n">
        <v>0.7994127</v>
      </c>
      <c r="L51" s="20" t="n">
        <v>0.45885348</v>
      </c>
      <c r="M51" s="18" t="n">
        <v>20.16249577</v>
      </c>
      <c r="N51" s="20" t="n">
        <v>2.39634929</v>
      </c>
      <c r="O51" s="18" t="s">
        <v>349</v>
      </c>
      <c r="P51" s="20" t="s">
        <v>349</v>
      </c>
      <c r="Q51" s="18" t="n">
        <v>0.39333855</v>
      </c>
      <c r="R51" s="20" t="n">
        <v>0.39066101</v>
      </c>
      <c r="S51" s="18" t="n">
        <v>0.09503112</v>
      </c>
      <c r="T51" s="20" t="n">
        <v>0.09594680999999999</v>
      </c>
      <c r="U51" s="18" t="n">
        <v>0</v>
      </c>
      <c r="V51" s="20" t="n">
        <v>0</v>
      </c>
      <c r="W51" s="18" t="n">
        <v>26.41120785</v>
      </c>
      <c r="X51" s="20" t="n">
        <v>2.63317618</v>
      </c>
    </row>
    <row r="52" spans="1:24">
      <c r="A52" s="15" t="s">
        <v>394</v>
      </c>
      <c r="B52" s="17" t="n">
        <v>2796</v>
      </c>
      <c r="C52" s="18">
        <f>(2449.0/B52*100)</f>
        <v/>
      </c>
      <c r="D52" s="19" t="n">
        <v>347</v>
      </c>
      <c r="E52" s="18" t="n">
        <v>13.80894647</v>
      </c>
      <c r="F52" s="20" t="n">
        <v>1.87641814</v>
      </c>
      <c r="G52" s="18" t="n">
        <v>7.17246594</v>
      </c>
      <c r="H52" s="20" t="n">
        <v>1.29255734</v>
      </c>
      <c r="I52" s="18" t="n">
        <v>3.87600556</v>
      </c>
      <c r="J52" s="20" t="n">
        <v>1.06417764</v>
      </c>
      <c r="K52" s="18" t="n">
        <v>1.14819496</v>
      </c>
      <c r="L52" s="20" t="n">
        <v>0.550352</v>
      </c>
      <c r="M52" s="18" t="n">
        <v>41.62708228</v>
      </c>
      <c r="N52" s="20" t="n">
        <v>2.94103991</v>
      </c>
      <c r="O52" s="18" t="s">
        <v>349</v>
      </c>
      <c r="P52" s="20" t="s">
        <v>349</v>
      </c>
      <c r="Q52" s="18" t="n">
        <v>0</v>
      </c>
      <c r="R52" s="20" t="n">
        <v>0</v>
      </c>
      <c r="S52" s="18" t="n">
        <v>0</v>
      </c>
      <c r="T52" s="20" t="n">
        <v>0</v>
      </c>
      <c r="U52" s="18" t="n">
        <v>0</v>
      </c>
      <c r="V52" s="20" t="n">
        <v>0</v>
      </c>
      <c r="W52" s="18" t="n">
        <v>32.36730478</v>
      </c>
      <c r="X52" s="20" t="n">
        <v>2.25020148</v>
      </c>
    </row>
    <row r="53" spans="1:24">
      <c r="A53" s="15" t="s">
        <v>395</v>
      </c>
      <c r="B53" s="17" t="n">
        <v>2811</v>
      </c>
      <c r="C53" s="18">
        <f>(2450.0/B53*100)</f>
        <v/>
      </c>
      <c r="D53" s="19" t="n">
        <v>361</v>
      </c>
      <c r="E53" s="18" t="n">
        <v>25.1051027</v>
      </c>
      <c r="F53" s="20" t="n">
        <v>2.51644572</v>
      </c>
      <c r="G53" s="18" t="n">
        <v>4.6136297</v>
      </c>
      <c r="H53" s="20" t="n">
        <v>1.08833231</v>
      </c>
      <c r="I53" s="18" t="n">
        <v>9.29103823</v>
      </c>
      <c r="J53" s="20" t="n">
        <v>1.44080978</v>
      </c>
      <c r="K53" s="18" t="n">
        <v>2.48923558</v>
      </c>
      <c r="L53" s="20" t="n">
        <v>0.66523592</v>
      </c>
      <c r="M53" s="18" t="n">
        <v>37.21772999</v>
      </c>
      <c r="N53" s="20" t="n">
        <v>2.55128128</v>
      </c>
      <c r="O53" s="18" t="s">
        <v>349</v>
      </c>
      <c r="P53" s="20" t="s">
        <v>349</v>
      </c>
      <c r="Q53" s="18" t="n">
        <v>0.46507842</v>
      </c>
      <c r="R53" s="20" t="n">
        <v>0.33219457</v>
      </c>
      <c r="S53" s="18" t="n">
        <v>0</v>
      </c>
      <c r="T53" s="20" t="n">
        <v>0</v>
      </c>
      <c r="U53" s="18" t="n">
        <v>0</v>
      </c>
      <c r="V53" s="20" t="n">
        <v>0</v>
      </c>
      <c r="W53" s="18" t="n">
        <v>20.81818538</v>
      </c>
      <c r="X53" s="20" t="n">
        <v>2.35514333</v>
      </c>
    </row>
    <row r="54" spans="1:24">
      <c r="A54" s="15" t="s">
        <v>396</v>
      </c>
      <c r="B54" s="17" t="n">
        <v>2266</v>
      </c>
      <c r="C54" s="18">
        <f>(1863.0/B54*100)</f>
        <v/>
      </c>
      <c r="D54" s="19" t="n">
        <v>403</v>
      </c>
      <c r="E54" s="18" t="n">
        <v>44.48772917</v>
      </c>
      <c r="F54" s="20" t="n">
        <v>2.42113412</v>
      </c>
      <c r="G54" s="18" t="n">
        <v>3.67952687</v>
      </c>
      <c r="H54" s="20" t="n">
        <v>1.25594058</v>
      </c>
      <c r="I54" s="18" t="n">
        <v>3.33671797</v>
      </c>
      <c r="J54" s="20" t="n">
        <v>0.83345181</v>
      </c>
      <c r="K54" s="18" t="n">
        <v>0.29181783</v>
      </c>
      <c r="L54" s="20" t="n">
        <v>0.30438136</v>
      </c>
      <c r="M54" s="18" t="n">
        <v>3.81245377</v>
      </c>
      <c r="N54" s="20" t="n">
        <v>1.03086559</v>
      </c>
      <c r="O54" s="18" t="s">
        <v>349</v>
      </c>
      <c r="P54" s="20" t="s">
        <v>349</v>
      </c>
      <c r="Q54" s="18" t="n">
        <v>4.07825148</v>
      </c>
      <c r="R54" s="20" t="n">
        <v>1.12247478</v>
      </c>
      <c r="S54" s="18" t="n">
        <v>0.51990144</v>
      </c>
      <c r="T54" s="20" t="n">
        <v>0.54989095</v>
      </c>
      <c r="U54" s="18" t="n">
        <v>0</v>
      </c>
      <c r="V54" s="20" t="n">
        <v>0</v>
      </c>
      <c r="W54" s="18" t="n">
        <v>39.79360146</v>
      </c>
      <c r="X54" s="20" t="n">
        <v>2.47555691</v>
      </c>
    </row>
    <row r="55" spans="1:24">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row>
    <row r="56" spans="1:24">
      <c r="A56" s="15" t="s">
        <v>398</v>
      </c>
      <c r="B56" s="17" t="n">
        <v>2684</v>
      </c>
      <c r="C56" s="18">
        <f>(2357.0/B56*100)</f>
        <v/>
      </c>
      <c r="D56" s="19" t="n">
        <v>327</v>
      </c>
      <c r="E56" s="18" t="n">
        <v>9.78815999</v>
      </c>
      <c r="F56" s="20" t="n">
        <v>1.69649434</v>
      </c>
      <c r="G56" s="18" t="n">
        <v>1.06413831</v>
      </c>
      <c r="H56" s="20" t="n">
        <v>0.51002273</v>
      </c>
      <c r="I56" s="18" t="n">
        <v>7.85844969</v>
      </c>
      <c r="J56" s="20" t="n">
        <v>1.36956622</v>
      </c>
      <c r="K56" s="18" t="n">
        <v>1.48518256</v>
      </c>
      <c r="L56" s="20" t="n">
        <v>0.68508395</v>
      </c>
      <c r="M56" s="18" t="n">
        <v>72.27318509</v>
      </c>
      <c r="N56" s="20" t="n">
        <v>2.9960102</v>
      </c>
      <c r="O56" s="18" t="s">
        <v>349</v>
      </c>
      <c r="P56" s="20" t="s">
        <v>349</v>
      </c>
      <c r="Q56" s="18" t="n">
        <v>0</v>
      </c>
      <c r="R56" s="20" t="n">
        <v>0</v>
      </c>
      <c r="S56" s="18" t="n">
        <v>0</v>
      </c>
      <c r="T56" s="20" t="n">
        <v>0</v>
      </c>
      <c r="U56" s="18" t="n">
        <v>0</v>
      </c>
      <c r="V56" s="20" t="n">
        <v>0</v>
      </c>
      <c r="W56" s="18" t="n">
        <v>7.53088436</v>
      </c>
      <c r="X56" s="20" t="n">
        <v>1.80272455</v>
      </c>
    </row>
    <row r="57" spans="1:24">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row>
    <row r="58" spans="1:24">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3324</v>
      </c>
      <c r="C61" s="18">
        <f>(2896.0/B61*100)</f>
        <v/>
      </c>
      <c r="D61" s="19" t="n">
        <v>428</v>
      </c>
      <c r="E61" s="18" t="n">
        <v>17.14769396</v>
      </c>
      <c r="F61" s="20" t="n">
        <v>2.14323959</v>
      </c>
      <c r="G61" s="18" t="n">
        <v>11.46713956</v>
      </c>
      <c r="H61" s="20" t="n">
        <v>1.63947497</v>
      </c>
      <c r="I61" s="18" t="n">
        <v>8.554595730000001</v>
      </c>
      <c r="J61" s="20" t="n">
        <v>1.42462828</v>
      </c>
      <c r="K61" s="18" t="n">
        <v>1.45748981</v>
      </c>
      <c r="L61" s="20" t="n">
        <v>0.62497638</v>
      </c>
      <c r="M61" s="18" t="n">
        <v>43.03761938</v>
      </c>
      <c r="N61" s="20" t="n">
        <v>2.37942433</v>
      </c>
      <c r="O61" s="18" t="s">
        <v>349</v>
      </c>
      <c r="P61" s="20" t="s">
        <v>349</v>
      </c>
      <c r="Q61" s="18" t="n">
        <v>0</v>
      </c>
      <c r="R61" s="20" t="n">
        <v>0</v>
      </c>
      <c r="S61" s="18" t="n">
        <v>0</v>
      </c>
      <c r="T61" s="20" t="n">
        <v>0</v>
      </c>
      <c r="U61" s="18" t="n">
        <v>0</v>
      </c>
      <c r="V61" s="20" t="n">
        <v>0</v>
      </c>
      <c r="W61" s="18" t="n">
        <v>18.33546154</v>
      </c>
      <c r="X61" s="20" t="n">
        <v>2.06193752</v>
      </c>
    </row>
    <row r="62" spans="1:24">
      <c r="A62" s="15" t="s">
        <v>404</v>
      </c>
      <c r="B62" s="17" t="n">
        <v>2246</v>
      </c>
      <c r="C62" s="18">
        <f>(1978.0/B62*100)</f>
        <v/>
      </c>
      <c r="D62" s="19" t="n">
        <v>268</v>
      </c>
      <c r="E62" s="18" t="n">
        <v>13.07839773</v>
      </c>
      <c r="F62" s="20" t="n">
        <v>2.02005012</v>
      </c>
      <c r="G62" s="18" t="n">
        <v>3.33477766</v>
      </c>
      <c r="H62" s="20" t="n">
        <v>1.10035739</v>
      </c>
      <c r="I62" s="18" t="n">
        <v>10.75421703</v>
      </c>
      <c r="J62" s="20" t="n">
        <v>1.72605206</v>
      </c>
      <c r="K62" s="18" t="n">
        <v>2.98604144</v>
      </c>
      <c r="L62" s="20" t="n">
        <v>1.02862528</v>
      </c>
      <c r="M62" s="18" t="n">
        <v>64.96326224000001</v>
      </c>
      <c r="N62" s="20" t="n">
        <v>2.8898842</v>
      </c>
      <c r="O62" s="18" t="s">
        <v>349</v>
      </c>
      <c r="P62" s="20" t="s">
        <v>349</v>
      </c>
      <c r="Q62" s="18" t="n">
        <v>0</v>
      </c>
      <c r="R62" s="20" t="n">
        <v>0</v>
      </c>
      <c r="S62" s="18" t="n">
        <v>0</v>
      </c>
      <c r="T62" s="20" t="n">
        <v>0</v>
      </c>
      <c r="U62" s="18" t="n">
        <v>0</v>
      </c>
      <c r="V62" s="20" t="n">
        <v>0</v>
      </c>
      <c r="W62" s="18" t="n">
        <v>4.8833039</v>
      </c>
      <c r="X62" s="20" t="n">
        <v>1.38129455</v>
      </c>
    </row>
    <row r="63" spans="1:24">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row>
    <row r="65" spans="1:24">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2894</v>
      </c>
      <c r="C66" s="18">
        <f>(2531.0/B66*100)</f>
        <v/>
      </c>
      <c r="D66" s="19" t="n">
        <v>363</v>
      </c>
      <c r="E66" s="18" t="n">
        <v>22.28247348</v>
      </c>
      <c r="F66" s="20" t="n">
        <v>2.32189791</v>
      </c>
      <c r="G66" s="18" t="n">
        <v>5.3509052</v>
      </c>
      <c r="H66" s="20" t="n">
        <v>1.33986246</v>
      </c>
      <c r="I66" s="18" t="n">
        <v>6.9518085</v>
      </c>
      <c r="J66" s="20" t="n">
        <v>1.30817972</v>
      </c>
      <c r="K66" s="18" t="n">
        <v>1.37756465</v>
      </c>
      <c r="L66" s="20" t="n">
        <v>0.69360084</v>
      </c>
      <c r="M66" s="18" t="n">
        <v>24.26955252</v>
      </c>
      <c r="N66" s="20" t="n">
        <v>2.74054013</v>
      </c>
      <c r="O66" s="18" t="s">
        <v>349</v>
      </c>
      <c r="P66" s="20" t="s">
        <v>349</v>
      </c>
      <c r="Q66" s="18" t="n">
        <v>0.95437287</v>
      </c>
      <c r="R66" s="20" t="n">
        <v>0.53633438</v>
      </c>
      <c r="S66" s="18" t="n">
        <v>0.4807746</v>
      </c>
      <c r="T66" s="20" t="n">
        <v>0.33893629</v>
      </c>
      <c r="U66" s="18" t="n">
        <v>0</v>
      </c>
      <c r="V66" s="20" t="n">
        <v>0</v>
      </c>
      <c r="W66" s="18" t="n">
        <v>38.33254819</v>
      </c>
      <c r="X66" s="20" t="n">
        <v>2.7904506</v>
      </c>
    </row>
    <row r="67" spans="1:24">
      <c r="A67" s="15" t="s">
        <v>409</v>
      </c>
      <c r="B67" s="17" t="n">
        <v>3511</v>
      </c>
      <c r="C67" s="18">
        <f>(3102.0/B67*100)</f>
        <v/>
      </c>
      <c r="D67" s="19" t="n">
        <v>409</v>
      </c>
      <c r="E67" s="18" t="n">
        <v>34.31188366</v>
      </c>
      <c r="F67" s="20" t="n">
        <v>2.35722406</v>
      </c>
      <c r="G67" s="18" t="n">
        <v>4.306937</v>
      </c>
      <c r="H67" s="20" t="n">
        <v>0.90733908</v>
      </c>
      <c r="I67" s="18" t="n">
        <v>5.9756611</v>
      </c>
      <c r="J67" s="20" t="n">
        <v>0.9692214</v>
      </c>
      <c r="K67" s="18" t="n">
        <v>1.21990037</v>
      </c>
      <c r="L67" s="20" t="n">
        <v>0.54108501</v>
      </c>
      <c r="M67" s="18" t="n">
        <v>17.11748311</v>
      </c>
      <c r="N67" s="20" t="n">
        <v>1.92929838</v>
      </c>
      <c r="O67" s="18" t="s">
        <v>349</v>
      </c>
      <c r="P67" s="20" t="s">
        <v>349</v>
      </c>
      <c r="Q67" s="18" t="n">
        <v>0</v>
      </c>
      <c r="R67" s="20" t="n">
        <v>0</v>
      </c>
      <c r="S67" s="18" t="n">
        <v>0.72908492</v>
      </c>
      <c r="T67" s="20" t="n">
        <v>0.42044391</v>
      </c>
      <c r="U67" s="18" t="n">
        <v>0</v>
      </c>
      <c r="V67" s="20" t="n">
        <v>0</v>
      </c>
      <c r="W67" s="18" t="n">
        <v>36.33904984</v>
      </c>
      <c r="X67" s="20" t="n">
        <v>2.40287635</v>
      </c>
    </row>
    <row r="68" spans="1:24">
      <c r="A68" s="15" t="s">
        <v>410</v>
      </c>
      <c r="B68" s="17" t="n">
        <v>6049</v>
      </c>
      <c r="C68" s="18">
        <f>(5042.0/B68*100)</f>
        <v/>
      </c>
      <c r="D68" s="19" t="n">
        <v>1007</v>
      </c>
      <c r="E68" s="18" t="n">
        <v>48.83212841</v>
      </c>
      <c r="F68" s="20" t="n">
        <v>1.48283032</v>
      </c>
      <c r="G68" s="18" t="n">
        <v>3.14861716</v>
      </c>
      <c r="H68" s="20" t="n">
        <v>0.49028866</v>
      </c>
      <c r="I68" s="18" t="n">
        <v>6.760773</v>
      </c>
      <c r="J68" s="20" t="n">
        <v>0.8572505</v>
      </c>
      <c r="K68" s="18" t="n">
        <v>1.56629215</v>
      </c>
      <c r="L68" s="20" t="n">
        <v>0.34700515</v>
      </c>
      <c r="M68" s="18" t="n">
        <v>22.02535474</v>
      </c>
      <c r="N68" s="20" t="n">
        <v>1.25438167</v>
      </c>
      <c r="O68" s="18" t="s">
        <v>349</v>
      </c>
      <c r="P68" s="20" t="s">
        <v>349</v>
      </c>
      <c r="Q68" s="18" t="n">
        <v>2.12078778</v>
      </c>
      <c r="R68" s="20" t="n">
        <v>0.44338361</v>
      </c>
      <c r="S68" s="18" t="n">
        <v>0.09348855</v>
      </c>
      <c r="T68" s="20" t="n">
        <v>0.09403224</v>
      </c>
      <c r="U68" s="18" t="n">
        <v>0</v>
      </c>
      <c r="V68" s="20" t="n">
        <v>0</v>
      </c>
      <c r="W68" s="18" t="n">
        <v>15.45255822</v>
      </c>
      <c r="X68" s="20" t="n">
        <v>1.12948355</v>
      </c>
    </row>
    <row r="69" spans="1:24">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2929</v>
      </c>
      <c r="C70" s="18">
        <f>(2576.0/B70*100)</f>
        <v/>
      </c>
      <c r="D70" s="19" t="n">
        <v>353</v>
      </c>
      <c r="E70" s="18" t="n">
        <v>21.81668266</v>
      </c>
      <c r="F70" s="20" t="n">
        <v>2.27605696</v>
      </c>
      <c r="G70" s="18" t="n">
        <v>3.74313269</v>
      </c>
      <c r="H70" s="20" t="n">
        <v>0.97504781</v>
      </c>
      <c r="I70" s="18" t="n">
        <v>10.64214113</v>
      </c>
      <c r="J70" s="20" t="n">
        <v>1.70893793</v>
      </c>
      <c r="K70" s="18" t="n">
        <v>0.67290228</v>
      </c>
      <c r="L70" s="20" t="n">
        <v>0.45957046</v>
      </c>
      <c r="M70" s="18" t="n">
        <v>46.14626969</v>
      </c>
      <c r="N70" s="20" t="n">
        <v>3.34784907</v>
      </c>
      <c r="O70" s="18" t="s">
        <v>349</v>
      </c>
      <c r="P70" s="20" t="s">
        <v>349</v>
      </c>
      <c r="Q70" s="18" t="n">
        <v>0</v>
      </c>
      <c r="R70" s="20" t="n">
        <v>0</v>
      </c>
      <c r="S70" s="18" t="n">
        <v>1.01659505</v>
      </c>
      <c r="T70" s="20" t="n">
        <v>0.49180461</v>
      </c>
      <c r="U70" s="18" t="n">
        <v>0</v>
      </c>
      <c r="V70" s="20" t="n">
        <v>0</v>
      </c>
      <c r="W70" s="18" t="n">
        <v>15.96227649</v>
      </c>
      <c r="X70" s="20" t="n">
        <v>2.17286004</v>
      </c>
    </row>
    <row r="71" spans="1:24">
      <c r="A71" s="15" t="s">
        <v>413</v>
      </c>
      <c r="B71" s="17" t="n">
        <v>3142</v>
      </c>
      <c r="C71" s="18">
        <f>(2754.0/B71*100)</f>
        <v/>
      </c>
      <c r="D71" s="19" t="n">
        <v>388</v>
      </c>
      <c r="E71" s="18" t="n">
        <v>14.44225655</v>
      </c>
      <c r="F71" s="20" t="n">
        <v>1.83692626</v>
      </c>
      <c r="G71" s="18" t="n">
        <v>2.46538127</v>
      </c>
      <c r="H71" s="20" t="n">
        <v>0.84653977</v>
      </c>
      <c r="I71" s="18" t="n">
        <v>9.1715429</v>
      </c>
      <c r="J71" s="20" t="n">
        <v>1.50115216</v>
      </c>
      <c r="K71" s="18" t="n">
        <v>1.100237</v>
      </c>
      <c r="L71" s="20" t="n">
        <v>0.54146387</v>
      </c>
      <c r="M71" s="18" t="n">
        <v>68.49666185</v>
      </c>
      <c r="N71" s="20" t="n">
        <v>2.42088842</v>
      </c>
      <c r="O71" s="18" t="s">
        <v>349</v>
      </c>
      <c r="P71" s="20" t="s">
        <v>349</v>
      </c>
      <c r="Q71" s="18" t="n">
        <v>0.15843409</v>
      </c>
      <c r="R71" s="20" t="n">
        <v>0.15124318</v>
      </c>
      <c r="S71" s="18" t="n">
        <v>0</v>
      </c>
      <c r="T71" s="20" t="n">
        <v>0</v>
      </c>
      <c r="U71" s="18" t="n">
        <v>0</v>
      </c>
      <c r="V71" s="20" t="n">
        <v>0</v>
      </c>
      <c r="W71" s="18" t="n">
        <v>4.16548633</v>
      </c>
      <c r="X71" s="20" t="n">
        <v>0.89658044</v>
      </c>
    </row>
    <row r="72" spans="1:24">
      <c r="A72" s="15" t="s">
        <v>414</v>
      </c>
      <c r="B72" s="17" t="n">
        <v>3889</v>
      </c>
      <c r="C72" s="18">
        <f>(3421.0/B72*100)</f>
        <v/>
      </c>
      <c r="D72" s="19" t="n">
        <v>468</v>
      </c>
      <c r="E72" s="18" t="n">
        <v>18.46578962</v>
      </c>
      <c r="F72" s="20" t="n">
        <v>1.73721586</v>
      </c>
      <c r="G72" s="18" t="n">
        <v>0.52713864</v>
      </c>
      <c r="H72" s="20" t="n">
        <v>0.31414251</v>
      </c>
      <c r="I72" s="18" t="n">
        <v>17.19645657</v>
      </c>
      <c r="J72" s="20" t="n">
        <v>1.93582002</v>
      </c>
      <c r="K72" s="18" t="n">
        <v>0.81015001</v>
      </c>
      <c r="L72" s="20" t="n">
        <v>0.43199931</v>
      </c>
      <c r="M72" s="18" t="n">
        <v>55.11291617</v>
      </c>
      <c r="N72" s="20" t="n">
        <v>2.59444549</v>
      </c>
      <c r="O72" s="18" t="s">
        <v>349</v>
      </c>
      <c r="P72" s="20" t="s">
        <v>349</v>
      </c>
      <c r="Q72" s="18" t="n">
        <v>0</v>
      </c>
      <c r="R72" s="20" t="n">
        <v>0</v>
      </c>
      <c r="S72" s="18" t="n">
        <v>0</v>
      </c>
      <c r="T72" s="20" t="n">
        <v>0</v>
      </c>
      <c r="U72" s="18" t="n">
        <v>0</v>
      </c>
      <c r="V72" s="20" t="n">
        <v>0</v>
      </c>
      <c r="W72" s="18" t="n">
        <v>7.88754899</v>
      </c>
      <c r="X72" s="20" t="n">
        <v>1.25290642</v>
      </c>
    </row>
    <row r="73" spans="1:24">
      <c r="A73" s="15" t="s">
        <v>415</v>
      </c>
      <c r="B73" s="17" t="n">
        <v>3597</v>
      </c>
      <c r="C73" s="18">
        <f>(3170.0/B73*100)</f>
        <v/>
      </c>
      <c r="D73" s="19" t="n">
        <v>427</v>
      </c>
      <c r="E73" s="18" t="n">
        <v>45.92673088</v>
      </c>
      <c r="F73" s="20" t="n">
        <v>3.07913132</v>
      </c>
      <c r="G73" s="18" t="n">
        <v>4.64901698</v>
      </c>
      <c r="H73" s="20" t="n">
        <v>1.14673928</v>
      </c>
      <c r="I73" s="18" t="n">
        <v>11.68506451</v>
      </c>
      <c r="J73" s="20" t="n">
        <v>1.83035765</v>
      </c>
      <c r="K73" s="18" t="n">
        <v>1.07349877</v>
      </c>
      <c r="L73" s="20" t="n">
        <v>0.55625712</v>
      </c>
      <c r="M73" s="18" t="n">
        <v>28.34556721</v>
      </c>
      <c r="N73" s="20" t="n">
        <v>2.80744583</v>
      </c>
      <c r="O73" s="18" t="s">
        <v>349</v>
      </c>
      <c r="P73" s="20" t="s">
        <v>349</v>
      </c>
      <c r="Q73" s="18" t="n">
        <v>0</v>
      </c>
      <c r="R73" s="20" t="n">
        <v>0</v>
      </c>
      <c r="S73" s="18" t="n">
        <v>0.009662199999999999</v>
      </c>
      <c r="T73" s="20" t="n">
        <v>0.009712149999999999</v>
      </c>
      <c r="U73" s="18" t="n">
        <v>0</v>
      </c>
      <c r="V73" s="20" t="n">
        <v>0</v>
      </c>
      <c r="W73" s="18" t="n">
        <v>8.31045945</v>
      </c>
      <c r="X73" s="20" t="n">
        <v>1.52010433</v>
      </c>
    </row>
    <row r="74" spans="1:24">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2406</v>
      </c>
      <c r="C75" s="18">
        <f>(2136.0/B75*100)</f>
        <v/>
      </c>
      <c r="D75" s="19" t="n">
        <v>270</v>
      </c>
      <c r="E75" s="18" t="n">
        <v>40.58931725</v>
      </c>
      <c r="F75" s="20" t="n">
        <v>2.85178946</v>
      </c>
      <c r="G75" s="18" t="n">
        <v>7.33538123</v>
      </c>
      <c r="H75" s="20" t="n">
        <v>1.49949187</v>
      </c>
      <c r="I75" s="18" t="n">
        <v>5.43402057</v>
      </c>
      <c r="J75" s="20" t="n">
        <v>1.41372152</v>
      </c>
      <c r="K75" s="18" t="n">
        <v>1.45715837</v>
      </c>
      <c r="L75" s="20" t="n">
        <v>0.73730261</v>
      </c>
      <c r="M75" s="18" t="n">
        <v>17.85190961</v>
      </c>
      <c r="N75" s="20" t="n">
        <v>2.32299137</v>
      </c>
      <c r="O75" s="18" t="s">
        <v>349</v>
      </c>
      <c r="P75" s="20" t="s">
        <v>349</v>
      </c>
      <c r="Q75" s="18" t="n">
        <v>0.92457353</v>
      </c>
      <c r="R75" s="20" t="n">
        <v>0.53430045</v>
      </c>
      <c r="S75" s="18" t="n">
        <v>1.12003885</v>
      </c>
      <c r="T75" s="20" t="n">
        <v>0.72311063</v>
      </c>
      <c r="U75" s="18" t="n">
        <v>0</v>
      </c>
      <c r="V75" s="20" t="n">
        <v>0</v>
      </c>
      <c r="W75" s="18" t="n">
        <v>25.28760057</v>
      </c>
      <c r="X75" s="20" t="n">
        <v>2.75191085</v>
      </c>
    </row>
    <row r="76" spans="1:24">
      <c r="A76" s="15" t="s">
        <v>418</v>
      </c>
      <c r="B76" s="17" t="n">
        <v>7052</v>
      </c>
      <c r="C76" s="18">
        <f>(6173.0/B76*100)</f>
        <v/>
      </c>
      <c r="D76" s="19" t="n">
        <v>879</v>
      </c>
      <c r="E76" s="18" t="n">
        <v>44.29496538</v>
      </c>
      <c r="F76" s="20" t="n">
        <v>2.5514576</v>
      </c>
      <c r="G76" s="18" t="n">
        <v>5.75412478</v>
      </c>
      <c r="H76" s="20" t="n">
        <v>0.75916054</v>
      </c>
      <c r="I76" s="18" t="n">
        <v>7.00865675</v>
      </c>
      <c r="J76" s="20" t="n">
        <v>1.39557904</v>
      </c>
      <c r="K76" s="18" t="n">
        <v>0.63235963</v>
      </c>
      <c r="L76" s="20" t="n">
        <v>0.31383973</v>
      </c>
      <c r="M76" s="18" t="n">
        <v>30.39032423</v>
      </c>
      <c r="N76" s="20" t="n">
        <v>1.89724811</v>
      </c>
      <c r="O76" s="18" t="s">
        <v>349</v>
      </c>
      <c r="P76" s="20" t="s">
        <v>349</v>
      </c>
      <c r="Q76" s="18" t="n">
        <v>0.59188102</v>
      </c>
      <c r="R76" s="20" t="n">
        <v>0.30358309</v>
      </c>
      <c r="S76" s="18" t="n">
        <v>0.18893497</v>
      </c>
      <c r="T76" s="20" t="n">
        <v>0.11824933</v>
      </c>
      <c r="U76" s="18" t="n">
        <v>0</v>
      </c>
      <c r="V76" s="20" t="n">
        <v>0</v>
      </c>
      <c r="W76" s="18" t="n">
        <v>11.13875324</v>
      </c>
      <c r="X76" s="20" t="n">
        <v>1.23534455</v>
      </c>
    </row>
    <row r="77" spans="1:24">
      <c r="A77" s="15" t="s">
        <v>419</v>
      </c>
      <c r="B77" s="17" t="n">
        <v>2908</v>
      </c>
      <c r="C77" s="18">
        <f>(2569.0/B77*100)</f>
        <v/>
      </c>
      <c r="D77" s="19" t="n">
        <v>339</v>
      </c>
      <c r="E77" s="18" t="n">
        <v>25.46258377</v>
      </c>
      <c r="F77" s="20" t="n">
        <v>2.40514843</v>
      </c>
      <c r="G77" s="18" t="n">
        <v>6.58604766</v>
      </c>
      <c r="H77" s="20" t="n">
        <v>1.1891029</v>
      </c>
      <c r="I77" s="18" t="n">
        <v>2.68639613</v>
      </c>
      <c r="J77" s="20" t="n">
        <v>0.93030371</v>
      </c>
      <c r="K77" s="18" t="n">
        <v>0.25023395</v>
      </c>
      <c r="L77" s="20" t="n">
        <v>0.25415162</v>
      </c>
      <c r="M77" s="18" t="n">
        <v>23.77939213</v>
      </c>
      <c r="N77" s="20" t="n">
        <v>2.4681756</v>
      </c>
      <c r="O77" s="18" t="s">
        <v>349</v>
      </c>
      <c r="P77" s="20" t="s">
        <v>349</v>
      </c>
      <c r="Q77" s="18" t="n">
        <v>0.7807121</v>
      </c>
      <c r="R77" s="20" t="n">
        <v>0.64619998</v>
      </c>
      <c r="S77" s="18" t="n">
        <v>6.74919077</v>
      </c>
      <c r="T77" s="20" t="n">
        <v>1.65110075</v>
      </c>
      <c r="U77" s="18" t="n">
        <v>0</v>
      </c>
      <c r="V77" s="20" t="n">
        <v>0</v>
      </c>
      <c r="W77" s="18" t="n">
        <v>33.7054435</v>
      </c>
      <c r="X77" s="20" t="n">
        <v>2.69770836</v>
      </c>
    </row>
    <row r="78" spans="1:24">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4163</v>
      </c>
      <c r="C81" s="18">
        <f>(3654.0/B81*100)</f>
        <v/>
      </c>
      <c r="D81" s="19" t="n">
        <v>509</v>
      </c>
      <c r="E81" s="18" t="n">
        <v>40.19870589</v>
      </c>
      <c r="F81" s="20" t="n">
        <v>2.80589165</v>
      </c>
      <c r="G81" s="18" t="n">
        <v>4.55095842</v>
      </c>
      <c r="H81" s="20" t="n">
        <v>1.20314368</v>
      </c>
      <c r="I81" s="18" t="n">
        <v>7.83225645</v>
      </c>
      <c r="J81" s="20" t="n">
        <v>1.46642927</v>
      </c>
      <c r="K81" s="18" t="n">
        <v>1.78602625</v>
      </c>
      <c r="L81" s="20" t="n">
        <v>0.74260173</v>
      </c>
      <c r="M81" s="18" t="n">
        <v>36.47633746</v>
      </c>
      <c r="N81" s="20" t="n">
        <v>2.80330572</v>
      </c>
      <c r="O81" s="18" t="s">
        <v>349</v>
      </c>
      <c r="P81" s="20" t="s">
        <v>349</v>
      </c>
      <c r="Q81" s="18" t="n">
        <v>0.29841384</v>
      </c>
      <c r="R81" s="20" t="n">
        <v>0.28042726</v>
      </c>
      <c r="S81" s="18" t="n">
        <v>0</v>
      </c>
      <c r="T81" s="20" t="n">
        <v>0</v>
      </c>
      <c r="U81" s="18" t="n">
        <v>0</v>
      </c>
      <c r="V81" s="20" t="n">
        <v>0</v>
      </c>
      <c r="W81" s="18" t="n">
        <v>8.857301700000001</v>
      </c>
      <c r="X81" s="20" t="n">
        <v>1.59793759</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(6449.0/B7*100)</f>
        <v/>
      </c>
      <c r="D7" s="19" t="n">
        <v>918</v>
      </c>
      <c r="E7" s="18" t="n">
        <v>21.93700583</v>
      </c>
      <c r="F7" s="20" t="n">
        <v>1.53670433</v>
      </c>
      <c r="G7" s="18" t="n">
        <v>69.26477139000001</v>
      </c>
      <c r="H7" s="20" t="n">
        <v>1.72005172</v>
      </c>
      <c r="I7" s="18" t="s">
        <v>349</v>
      </c>
      <c r="J7" s="20" t="s">
        <v>349</v>
      </c>
      <c r="K7" s="18" t="n">
        <v>1.32044364</v>
      </c>
      <c r="L7" s="20" t="n">
        <v>0.43587954</v>
      </c>
      <c r="M7" s="18" t="n">
        <v>0</v>
      </c>
      <c r="N7" s="20" t="n">
        <v>0</v>
      </c>
      <c r="O7" s="18" t="n">
        <v>0</v>
      </c>
      <c r="P7" s="20" t="n">
        <v>0</v>
      </c>
      <c r="Q7" s="18" t="n">
        <v>7.47777914</v>
      </c>
      <c r="R7" s="20" t="n">
        <v>0.96474252</v>
      </c>
    </row>
    <row r="8" spans="1:18">
      <c r="A8" s="15" t="s">
        <v>350</v>
      </c>
      <c r="B8" s="17" t="n">
        <v>3564</v>
      </c>
      <c r="C8" s="18">
        <f>(3134.0/B8*100)</f>
        <v/>
      </c>
      <c r="D8" s="19" t="n">
        <v>430</v>
      </c>
      <c r="E8" s="18" t="n">
        <v>26.31067129</v>
      </c>
      <c r="F8" s="20" t="n">
        <v>2.50513457</v>
      </c>
      <c r="G8" s="18" t="n">
        <v>66.18324223</v>
      </c>
      <c r="H8" s="20" t="n">
        <v>2.77357247</v>
      </c>
      <c r="I8" s="18" t="s">
        <v>349</v>
      </c>
      <c r="J8" s="20" t="s">
        <v>349</v>
      </c>
      <c r="K8" s="18" t="n">
        <v>0</v>
      </c>
      <c r="L8" s="20" t="n">
        <v>0</v>
      </c>
      <c r="M8" s="18" t="n">
        <v>0</v>
      </c>
      <c r="N8" s="20" t="n">
        <v>0</v>
      </c>
      <c r="O8" s="18" t="n">
        <v>0</v>
      </c>
      <c r="P8" s="20" t="n">
        <v>0</v>
      </c>
      <c r="Q8" s="18" t="n">
        <v>7.50608648</v>
      </c>
      <c r="R8" s="20" t="n">
        <v>1.59547053</v>
      </c>
    </row>
    <row r="9" spans="1:18">
      <c r="A9" s="15" t="s">
        <v>351</v>
      </c>
      <c r="B9" s="17" t="n">
        <v>4899</v>
      </c>
      <c r="C9" s="18">
        <f>(4329.0/B9*100)</f>
        <v/>
      </c>
      <c r="D9" s="19" t="n">
        <v>570</v>
      </c>
      <c r="E9" s="18" t="n">
        <v>20.26190359</v>
      </c>
      <c r="F9" s="20" t="n">
        <v>1.68551434</v>
      </c>
      <c r="G9" s="18" t="n">
        <v>73.47413794000001</v>
      </c>
      <c r="H9" s="20" t="n">
        <v>1.93032704</v>
      </c>
      <c r="I9" s="18" t="s">
        <v>349</v>
      </c>
      <c r="J9" s="20" t="s">
        <v>349</v>
      </c>
      <c r="K9" s="18" t="n">
        <v>0</v>
      </c>
      <c r="L9" s="20" t="n">
        <v>0</v>
      </c>
      <c r="M9" s="18" t="n">
        <v>0</v>
      </c>
      <c r="N9" s="20" t="n">
        <v>0</v>
      </c>
      <c r="O9" s="18" t="n">
        <v>0</v>
      </c>
      <c r="P9" s="20" t="n">
        <v>0</v>
      </c>
      <c r="Q9" s="18" t="n">
        <v>6.26395846</v>
      </c>
      <c r="R9" s="20" t="n">
        <v>1.0826475</v>
      </c>
    </row>
    <row r="10" spans="1:18">
      <c r="A10" s="15" t="s">
        <v>352</v>
      </c>
      <c r="B10" s="17" t="n">
        <v>10036</v>
      </c>
      <c r="C10" s="18">
        <f>(8805.0/B10*100)</f>
        <v/>
      </c>
      <c r="D10" s="19" t="n">
        <v>1231</v>
      </c>
      <c r="E10" s="18" t="n">
        <v>20.00844397</v>
      </c>
      <c r="F10" s="20" t="n">
        <v>1.5934684</v>
      </c>
      <c r="G10" s="18" t="n">
        <v>75.81856283</v>
      </c>
      <c r="H10" s="20" t="n">
        <v>1.69693296</v>
      </c>
      <c r="I10" s="18" t="s">
        <v>349</v>
      </c>
      <c r="J10" s="20" t="s">
        <v>349</v>
      </c>
      <c r="K10" s="18" t="n">
        <v>0.18939829</v>
      </c>
      <c r="L10" s="20" t="n">
        <v>0.10281703</v>
      </c>
      <c r="M10" s="18" t="n">
        <v>0</v>
      </c>
      <c r="N10" s="20" t="n">
        <v>0</v>
      </c>
      <c r="O10" s="18" t="n">
        <v>0</v>
      </c>
      <c r="P10" s="20" t="n">
        <v>0</v>
      </c>
      <c r="Q10" s="18" t="n">
        <v>3.9835949</v>
      </c>
      <c r="R10" s="20" t="n">
        <v>0.8154573000000001</v>
      </c>
    </row>
    <row r="11" spans="1:18">
      <c r="A11" s="15" t="s">
        <v>353</v>
      </c>
      <c r="B11" s="17" t="n">
        <v>3553</v>
      </c>
      <c r="C11" s="18">
        <f>(3118.0/B11*100)</f>
        <v/>
      </c>
      <c r="D11" s="19" t="n">
        <v>435</v>
      </c>
      <c r="E11" s="18" t="n">
        <v>27.61354392</v>
      </c>
      <c r="F11" s="20" t="n">
        <v>2.32557344</v>
      </c>
      <c r="G11" s="18" t="n">
        <v>58.59424861</v>
      </c>
      <c r="H11" s="20" t="n">
        <v>2.45252259</v>
      </c>
      <c r="I11" s="18" t="s">
        <v>349</v>
      </c>
      <c r="J11" s="20" t="s">
        <v>349</v>
      </c>
      <c r="K11" s="18" t="n">
        <v>0.84211802</v>
      </c>
      <c r="L11" s="20" t="n">
        <v>0.3958267</v>
      </c>
      <c r="M11" s="18" t="n">
        <v>0</v>
      </c>
      <c r="N11" s="20" t="n">
        <v>0</v>
      </c>
      <c r="O11" s="18" t="n">
        <v>0</v>
      </c>
      <c r="P11" s="20" t="n">
        <v>0</v>
      </c>
      <c r="Q11" s="18" t="n">
        <v>12.95008945</v>
      </c>
      <c r="R11" s="20" t="n">
        <v>1.98710039</v>
      </c>
    </row>
    <row r="12" spans="1:18">
      <c r="A12" s="15" t="s">
        <v>354</v>
      </c>
      <c r="B12" s="17" t="n">
        <v>3472</v>
      </c>
      <c r="C12" s="18">
        <f>(3071.0/B12*100)</f>
        <v/>
      </c>
      <c r="D12" s="19" t="n">
        <v>401</v>
      </c>
      <c r="E12" s="18" t="n">
        <v>19.02465689</v>
      </c>
      <c r="F12" s="20" t="n">
        <v>1.85189882</v>
      </c>
      <c r="G12" s="18" t="n">
        <v>73.34174639</v>
      </c>
      <c r="H12" s="20" t="n">
        <v>2.33569512</v>
      </c>
      <c r="I12" s="18" t="s">
        <v>349</v>
      </c>
      <c r="J12" s="20" t="s">
        <v>349</v>
      </c>
      <c r="K12" s="18" t="n">
        <v>0</v>
      </c>
      <c r="L12" s="20" t="n">
        <v>0</v>
      </c>
      <c r="M12" s="18" t="n">
        <v>0</v>
      </c>
      <c r="N12" s="20" t="n">
        <v>0</v>
      </c>
      <c r="O12" s="18" t="n">
        <v>0</v>
      </c>
      <c r="P12" s="20" t="n">
        <v>0</v>
      </c>
      <c r="Q12" s="18" t="n">
        <v>7.63359672</v>
      </c>
      <c r="R12" s="20" t="n">
        <v>1.61521076</v>
      </c>
    </row>
    <row r="13" spans="1:18">
      <c r="A13" s="15" t="s">
        <v>355</v>
      </c>
      <c r="B13" s="17" t="n">
        <v>3559</v>
      </c>
      <c r="C13" s="18">
        <f>(3137.0/B13*100)</f>
        <v/>
      </c>
      <c r="D13" s="19" t="n">
        <v>422</v>
      </c>
      <c r="E13" s="18" t="n">
        <v>17.33241684</v>
      </c>
      <c r="F13" s="20" t="n">
        <v>2.16788877</v>
      </c>
      <c r="G13" s="18" t="n">
        <v>79.55449118</v>
      </c>
      <c r="H13" s="20" t="n">
        <v>2.25349313</v>
      </c>
      <c r="I13" s="18" t="s">
        <v>349</v>
      </c>
      <c r="J13" s="20" t="s">
        <v>349</v>
      </c>
      <c r="K13" s="18" t="n">
        <v>0.48976182</v>
      </c>
      <c r="L13" s="20" t="n">
        <v>0.33998382</v>
      </c>
      <c r="M13" s="18" t="n">
        <v>0</v>
      </c>
      <c r="N13" s="20" t="n">
        <v>0</v>
      </c>
      <c r="O13" s="18" t="n">
        <v>0</v>
      </c>
      <c r="P13" s="20" t="n">
        <v>0</v>
      </c>
      <c r="Q13" s="18" t="n">
        <v>2.62333016</v>
      </c>
      <c r="R13" s="20" t="n">
        <v>0.94225094</v>
      </c>
    </row>
    <row r="14" spans="1:18">
      <c r="A14" s="15" t="s">
        <v>356</v>
      </c>
      <c r="B14" s="17" t="n">
        <v>2799</v>
      </c>
      <c r="C14" s="18">
        <f>(2455.0/B14*100)</f>
        <v/>
      </c>
      <c r="D14" s="19" t="n">
        <v>344</v>
      </c>
      <c r="E14" s="18" t="n">
        <v>15.37068868</v>
      </c>
      <c r="F14" s="20" t="n">
        <v>2.12038901</v>
      </c>
      <c r="G14" s="18" t="n">
        <v>81.66250375</v>
      </c>
      <c r="H14" s="20" t="n">
        <v>2.39530464</v>
      </c>
      <c r="I14" s="18" t="s">
        <v>349</v>
      </c>
      <c r="J14" s="20" t="s">
        <v>349</v>
      </c>
      <c r="K14" s="18" t="n">
        <v>0</v>
      </c>
      <c r="L14" s="20" t="n">
        <v>0</v>
      </c>
      <c r="M14" s="18" t="n">
        <v>0</v>
      </c>
      <c r="N14" s="20" t="n">
        <v>0</v>
      </c>
      <c r="O14" s="18" t="n">
        <v>0</v>
      </c>
      <c r="P14" s="20" t="n">
        <v>0</v>
      </c>
      <c r="Q14" s="18" t="n">
        <v>2.96680757</v>
      </c>
      <c r="R14" s="20" t="n">
        <v>0.93745966</v>
      </c>
    </row>
    <row r="15" spans="1:18">
      <c r="A15" s="15" t="s">
        <v>357</v>
      </c>
      <c r="B15" s="17" t="n">
        <v>3019</v>
      </c>
      <c r="C15" s="18">
        <f>(2663.0/B15*100)</f>
        <v/>
      </c>
      <c r="D15" s="19" t="n">
        <v>356</v>
      </c>
      <c r="E15" s="18" t="n">
        <v>23.4561399</v>
      </c>
      <c r="F15" s="20" t="n">
        <v>1.97671161</v>
      </c>
      <c r="G15" s="18" t="n">
        <v>72.02656743999999</v>
      </c>
      <c r="H15" s="20" t="n">
        <v>2.22227787</v>
      </c>
      <c r="I15" s="18" t="s">
        <v>349</v>
      </c>
      <c r="J15" s="20" t="s">
        <v>349</v>
      </c>
      <c r="K15" s="18" t="n">
        <v>0</v>
      </c>
      <c r="L15" s="20" t="n">
        <v>0</v>
      </c>
      <c r="M15" s="18" t="n">
        <v>0</v>
      </c>
      <c r="N15" s="20" t="n">
        <v>0</v>
      </c>
      <c r="O15" s="18" t="n">
        <v>0</v>
      </c>
      <c r="P15" s="20" t="n">
        <v>0</v>
      </c>
      <c r="Q15" s="18" t="n">
        <v>4.51729267</v>
      </c>
      <c r="R15" s="20" t="n">
        <v>1.11111212</v>
      </c>
    </row>
    <row r="16" spans="1:18">
      <c r="A16" s="15" t="s">
        <v>358</v>
      </c>
      <c r="B16" s="17" t="n">
        <v>2997</v>
      </c>
      <c r="C16" s="18">
        <f>(2612.0/B16*100)</f>
        <v/>
      </c>
      <c r="D16" s="19" t="n">
        <v>385</v>
      </c>
      <c r="E16" s="18" t="n">
        <v>21.27060315</v>
      </c>
      <c r="F16" s="20" t="n">
        <v>2.54803336</v>
      </c>
      <c r="G16" s="18" t="n">
        <v>67.2258386</v>
      </c>
      <c r="H16" s="20" t="n">
        <v>2.77749865</v>
      </c>
      <c r="I16" s="18" t="s">
        <v>349</v>
      </c>
      <c r="J16" s="20" t="s">
        <v>349</v>
      </c>
      <c r="K16" s="18" t="n">
        <v>0.7250975</v>
      </c>
      <c r="L16" s="20" t="n">
        <v>0.4473252</v>
      </c>
      <c r="M16" s="18" t="n">
        <v>0</v>
      </c>
      <c r="N16" s="20" t="n">
        <v>0</v>
      </c>
      <c r="O16" s="18" t="n">
        <v>0</v>
      </c>
      <c r="P16" s="20" t="n">
        <v>0</v>
      </c>
      <c r="Q16" s="18" t="n">
        <v>10.77846075</v>
      </c>
      <c r="R16" s="20" t="n">
        <v>1.60436361</v>
      </c>
    </row>
    <row r="17" spans="1:18">
      <c r="A17" s="15" t="s">
        <v>359</v>
      </c>
      <c r="B17" s="17" t="n">
        <v>3307</v>
      </c>
      <c r="C17" s="18">
        <f>(2909.0/B17*100)</f>
        <v/>
      </c>
      <c r="D17" s="19" t="n">
        <v>398</v>
      </c>
      <c r="E17" s="18" t="n">
        <v>17.50927265</v>
      </c>
      <c r="F17" s="20" t="n">
        <v>2.14603214</v>
      </c>
      <c r="G17" s="18" t="n">
        <v>75.17253732</v>
      </c>
      <c r="H17" s="20" t="n">
        <v>2.36839927</v>
      </c>
      <c r="I17" s="18" t="s">
        <v>349</v>
      </c>
      <c r="J17" s="20" t="s">
        <v>349</v>
      </c>
      <c r="K17" s="18" t="n">
        <v>0.92445451</v>
      </c>
      <c r="L17" s="20" t="n">
        <v>0.32771548</v>
      </c>
      <c r="M17" s="18" t="n">
        <v>0</v>
      </c>
      <c r="N17" s="20" t="n">
        <v>0</v>
      </c>
      <c r="O17" s="18" t="n">
        <v>0</v>
      </c>
      <c r="P17" s="20" t="n">
        <v>0</v>
      </c>
      <c r="Q17" s="18" t="n">
        <v>6.39373552</v>
      </c>
      <c r="R17" s="20" t="n">
        <v>1.26324137</v>
      </c>
    </row>
    <row r="18" spans="1:18">
      <c r="A18" s="15" t="s">
        <v>360</v>
      </c>
      <c r="B18" s="17" t="n">
        <v>2826</v>
      </c>
      <c r="C18" s="18">
        <f>(2479.0/B18*100)</f>
        <v/>
      </c>
      <c r="D18" s="19" t="n">
        <v>347</v>
      </c>
      <c r="E18" s="18" t="n">
        <v>28.78099218</v>
      </c>
      <c r="F18" s="20" t="n">
        <v>2.47785385</v>
      </c>
      <c r="G18" s="18" t="n">
        <v>60.86055105</v>
      </c>
      <c r="H18" s="20" t="n">
        <v>2.92821928</v>
      </c>
      <c r="I18" s="18" t="s">
        <v>349</v>
      </c>
      <c r="J18" s="20" t="s">
        <v>349</v>
      </c>
      <c r="K18" s="18" t="n">
        <v>0.29507905</v>
      </c>
      <c r="L18" s="20" t="n">
        <v>0.29654466</v>
      </c>
      <c r="M18" s="18" t="n">
        <v>0</v>
      </c>
      <c r="N18" s="20" t="n">
        <v>0</v>
      </c>
      <c r="O18" s="18" t="n">
        <v>0</v>
      </c>
      <c r="P18" s="20" t="n">
        <v>0</v>
      </c>
      <c r="Q18" s="18" t="n">
        <v>10.06337772</v>
      </c>
      <c r="R18" s="20" t="n">
        <v>1.78481391</v>
      </c>
    </row>
    <row r="19" spans="1:18">
      <c r="A19" s="15" t="s">
        <v>361</v>
      </c>
      <c r="B19" s="17" t="n">
        <v>2808</v>
      </c>
      <c r="C19" s="18">
        <f>(2472.0/B19*100)</f>
        <v/>
      </c>
      <c r="D19" s="19" t="n">
        <v>336</v>
      </c>
      <c r="E19" s="18" t="n">
        <v>28.92130594</v>
      </c>
      <c r="F19" s="20" t="n">
        <v>2.38868134</v>
      </c>
      <c r="G19" s="18" t="n">
        <v>62.58801868</v>
      </c>
      <c r="H19" s="20" t="n">
        <v>2.44444954</v>
      </c>
      <c r="I19" s="18" t="s">
        <v>349</v>
      </c>
      <c r="J19" s="20" t="s">
        <v>349</v>
      </c>
      <c r="K19" s="18" t="n">
        <v>0.69421655</v>
      </c>
      <c r="L19" s="20" t="n">
        <v>0.65409134</v>
      </c>
      <c r="M19" s="18" t="n">
        <v>0</v>
      </c>
      <c r="N19" s="20" t="n">
        <v>0</v>
      </c>
      <c r="O19" s="18" t="n">
        <v>0</v>
      </c>
      <c r="P19" s="20" t="n">
        <v>0</v>
      </c>
      <c r="Q19" s="18" t="n">
        <v>7.79645884</v>
      </c>
      <c r="R19" s="20" t="n">
        <v>1.6368264</v>
      </c>
    </row>
    <row r="20" spans="1:18">
      <c r="A20" s="15" t="s">
        <v>362</v>
      </c>
      <c r="B20" s="17" t="n">
        <v>1630</v>
      </c>
      <c r="C20" s="18">
        <f>(1422.0/B20*100)</f>
        <v/>
      </c>
      <c r="D20" s="19" t="n">
        <v>208</v>
      </c>
      <c r="E20" s="18" t="n">
        <v>14.69562789</v>
      </c>
      <c r="F20" s="20" t="n">
        <v>2.40618562</v>
      </c>
      <c r="G20" s="18" t="n">
        <v>73.09982762</v>
      </c>
      <c r="H20" s="20" t="n">
        <v>3.04951921</v>
      </c>
      <c r="I20" s="18" t="s">
        <v>349</v>
      </c>
      <c r="J20" s="20" t="s">
        <v>349</v>
      </c>
      <c r="K20" s="18" t="n">
        <v>0.47361724</v>
      </c>
      <c r="L20" s="20" t="n">
        <v>0.48567141</v>
      </c>
      <c r="M20" s="18" t="n">
        <v>0</v>
      </c>
      <c r="N20" s="20" t="n">
        <v>0</v>
      </c>
      <c r="O20" s="18" t="n">
        <v>0</v>
      </c>
      <c r="P20" s="20" t="n">
        <v>0</v>
      </c>
      <c r="Q20" s="18" t="n">
        <v>11.73092724</v>
      </c>
      <c r="R20" s="20" t="n">
        <v>2.16768128</v>
      </c>
    </row>
    <row r="21" spans="1:18">
      <c r="A21" s="15" t="s">
        <v>363</v>
      </c>
      <c r="B21" s="17" t="n">
        <v>2908</v>
      </c>
      <c r="C21" s="18">
        <f>(2436.0/B21*100)</f>
        <v/>
      </c>
      <c r="D21" s="19" t="n">
        <v>472</v>
      </c>
      <c r="E21" s="18" t="n">
        <v>19.2284904</v>
      </c>
      <c r="F21" s="20" t="n">
        <v>1.86943994</v>
      </c>
      <c r="G21" s="18" t="n">
        <v>77.3788287</v>
      </c>
      <c r="H21" s="20" t="n">
        <v>2.15791907</v>
      </c>
      <c r="I21" s="18" t="s">
        <v>349</v>
      </c>
      <c r="J21" s="20" t="s">
        <v>349</v>
      </c>
      <c r="K21" s="18" t="n">
        <v>0.16771006</v>
      </c>
      <c r="L21" s="20" t="n">
        <v>0.16855019</v>
      </c>
      <c r="M21" s="18" t="n">
        <v>0</v>
      </c>
      <c r="N21" s="20" t="n">
        <v>0</v>
      </c>
      <c r="O21" s="18" t="n">
        <v>0</v>
      </c>
      <c r="P21" s="20" t="n">
        <v>0</v>
      </c>
      <c r="Q21" s="18" t="n">
        <v>3.22497085</v>
      </c>
      <c r="R21" s="20" t="n">
        <v>0.78477633</v>
      </c>
    </row>
    <row r="22" spans="1:18">
      <c r="A22" s="15" t="s">
        <v>364</v>
      </c>
      <c r="B22" s="17" t="n">
        <v>2931</v>
      </c>
      <c r="C22" s="18">
        <f>(2573.0/B22*100)</f>
        <v/>
      </c>
      <c r="D22" s="19" t="n">
        <v>358</v>
      </c>
      <c r="E22" s="18" t="n">
        <v>30.41913425</v>
      </c>
      <c r="F22" s="20" t="n">
        <v>2.38268433</v>
      </c>
      <c r="G22" s="18" t="n">
        <v>53.52415357</v>
      </c>
      <c r="H22" s="20" t="n">
        <v>2.68916571</v>
      </c>
      <c r="I22" s="18" t="s">
        <v>349</v>
      </c>
      <c r="J22" s="20" t="s">
        <v>349</v>
      </c>
      <c r="K22" s="18" t="n">
        <v>0.22171277</v>
      </c>
      <c r="L22" s="20" t="n">
        <v>0.22118187</v>
      </c>
      <c r="M22" s="18" t="n">
        <v>0</v>
      </c>
      <c r="N22" s="20" t="n">
        <v>0</v>
      </c>
      <c r="O22" s="18" t="n">
        <v>0</v>
      </c>
      <c r="P22" s="20" t="n">
        <v>0</v>
      </c>
      <c r="Q22" s="18" t="n">
        <v>15.83499941</v>
      </c>
      <c r="R22" s="20" t="n">
        <v>1.95188611</v>
      </c>
    </row>
    <row r="23" spans="1:18">
      <c r="A23" s="15" t="s">
        <v>365</v>
      </c>
      <c r="B23" s="17" t="n">
        <v>5791</v>
      </c>
      <c r="C23" s="18">
        <f>(5100.0/B23*100)</f>
        <v/>
      </c>
      <c r="D23" s="19" t="n">
        <v>691</v>
      </c>
      <c r="E23" s="18" t="n">
        <v>15.34100125</v>
      </c>
      <c r="F23" s="20" t="n">
        <v>1.85936676</v>
      </c>
      <c r="G23" s="18" t="n">
        <v>75.80152943</v>
      </c>
      <c r="H23" s="20" t="n">
        <v>2.36160248</v>
      </c>
      <c r="I23" s="18" t="s">
        <v>349</v>
      </c>
      <c r="J23" s="20" t="s">
        <v>349</v>
      </c>
      <c r="K23" s="18" t="n">
        <v>0</v>
      </c>
      <c r="L23" s="20" t="n">
        <v>0</v>
      </c>
      <c r="M23" s="18" t="n">
        <v>0</v>
      </c>
      <c r="N23" s="20" t="n">
        <v>0</v>
      </c>
      <c r="O23" s="18" t="n">
        <v>0</v>
      </c>
      <c r="P23" s="20" t="n">
        <v>0</v>
      </c>
      <c r="Q23" s="18" t="n">
        <v>8.85746932</v>
      </c>
      <c r="R23" s="20" t="n">
        <v>1.52699978</v>
      </c>
    </row>
    <row r="24" spans="1:18">
      <c r="A24" s="15" t="s">
        <v>366</v>
      </c>
      <c r="B24" s="17" t="n">
        <v>3338</v>
      </c>
      <c r="C24" s="18">
        <f>(2932.0/B24*100)</f>
        <v/>
      </c>
      <c r="D24" s="19" t="n">
        <v>406</v>
      </c>
      <c r="E24" s="18" t="n">
        <v>25.82483623</v>
      </c>
      <c r="F24" s="20" t="n">
        <v>2.42557242</v>
      </c>
      <c r="G24" s="18" t="n">
        <v>71.68935874</v>
      </c>
      <c r="H24" s="20" t="n">
        <v>2.43296182</v>
      </c>
      <c r="I24" s="18" t="s">
        <v>349</v>
      </c>
      <c r="J24" s="20" t="s">
        <v>349</v>
      </c>
      <c r="K24" s="18" t="n">
        <v>0.25697316</v>
      </c>
      <c r="L24" s="20" t="n">
        <v>0.24767244</v>
      </c>
      <c r="M24" s="18" t="n">
        <v>0</v>
      </c>
      <c r="N24" s="20" t="n">
        <v>0</v>
      </c>
      <c r="O24" s="18" t="n">
        <v>0</v>
      </c>
      <c r="P24" s="20" t="n">
        <v>0</v>
      </c>
      <c r="Q24" s="18" t="n">
        <v>2.22883188</v>
      </c>
      <c r="R24" s="20" t="n">
        <v>0.72100608</v>
      </c>
    </row>
    <row r="25" spans="1:18">
      <c r="A25" s="15" t="s">
        <v>367</v>
      </c>
      <c r="B25" s="17" t="n">
        <v>2912</v>
      </c>
      <c r="C25" s="18">
        <f>(2547.0/B25*100)</f>
        <v/>
      </c>
      <c r="D25" s="19" t="n">
        <v>365</v>
      </c>
      <c r="E25" s="18" t="n">
        <v>21.82185156</v>
      </c>
      <c r="F25" s="20" t="n">
        <v>2.78138834</v>
      </c>
      <c r="G25" s="18" t="n">
        <v>75.81207929999999</v>
      </c>
      <c r="H25" s="20" t="n">
        <v>2.93682617</v>
      </c>
      <c r="I25" s="18" t="s">
        <v>349</v>
      </c>
      <c r="J25" s="20" t="s">
        <v>349</v>
      </c>
      <c r="K25" s="18" t="n">
        <v>0.25755105</v>
      </c>
      <c r="L25" s="20" t="n">
        <v>0.25725186</v>
      </c>
      <c r="M25" s="18" t="n">
        <v>0</v>
      </c>
      <c r="N25" s="20" t="n">
        <v>0</v>
      </c>
      <c r="O25" s="18" t="n">
        <v>0</v>
      </c>
      <c r="P25" s="20" t="n">
        <v>0</v>
      </c>
      <c r="Q25" s="18" t="n">
        <v>2.10851808</v>
      </c>
      <c r="R25" s="20" t="n">
        <v>0.74227749</v>
      </c>
    </row>
    <row r="26" spans="1:18">
      <c r="A26" s="15" t="s">
        <v>368</v>
      </c>
      <c r="B26" s="17" t="n">
        <v>2450</v>
      </c>
      <c r="C26" s="18">
        <f>(2161.0/B26*100)</f>
        <v/>
      </c>
      <c r="D26" s="19" t="n">
        <v>289</v>
      </c>
      <c r="E26" s="18" t="n">
        <v>24.01648425</v>
      </c>
      <c r="F26" s="20" t="n">
        <v>2.30944015</v>
      </c>
      <c r="G26" s="18" t="n">
        <v>67.50340416</v>
      </c>
      <c r="H26" s="20" t="n">
        <v>2.5619321</v>
      </c>
      <c r="I26" s="18" t="s">
        <v>349</v>
      </c>
      <c r="J26" s="20" t="s">
        <v>349</v>
      </c>
      <c r="K26" s="18" t="n">
        <v>0</v>
      </c>
      <c r="L26" s="20" t="n">
        <v>0</v>
      </c>
      <c r="M26" s="18" t="n">
        <v>0</v>
      </c>
      <c r="N26" s="20" t="n">
        <v>0</v>
      </c>
      <c r="O26" s="18" t="n">
        <v>0</v>
      </c>
      <c r="P26" s="20" t="n">
        <v>0</v>
      </c>
      <c r="Q26" s="18" t="n">
        <v>8.48011159</v>
      </c>
      <c r="R26" s="20" t="n">
        <v>1.70412578</v>
      </c>
    </row>
    <row r="27" spans="1:18">
      <c r="A27" s="15" t="s">
        <v>369</v>
      </c>
      <c r="B27" s="17" t="n">
        <v>2616</v>
      </c>
      <c r="C27" s="18">
        <f>(2301.0/B27*100)</f>
        <v/>
      </c>
      <c r="D27" s="19" t="n">
        <v>315</v>
      </c>
      <c r="E27" s="18" t="n">
        <v>28.51228397</v>
      </c>
      <c r="F27" s="20" t="n">
        <v>2.72238452</v>
      </c>
      <c r="G27" s="18" t="n">
        <v>61.17188384</v>
      </c>
      <c r="H27" s="20" t="n">
        <v>2.85409604</v>
      </c>
      <c r="I27" s="18" t="s">
        <v>349</v>
      </c>
      <c r="J27" s="20" t="s">
        <v>349</v>
      </c>
      <c r="K27" s="18" t="n">
        <v>0.31229707</v>
      </c>
      <c r="L27" s="20" t="n">
        <v>0.3123597</v>
      </c>
      <c r="M27" s="18" t="n">
        <v>0</v>
      </c>
      <c r="N27" s="20" t="n">
        <v>0</v>
      </c>
      <c r="O27" s="18" t="n">
        <v>0</v>
      </c>
      <c r="P27" s="20" t="n">
        <v>0</v>
      </c>
      <c r="Q27" s="18" t="n">
        <v>10.00353511</v>
      </c>
      <c r="R27" s="20" t="n">
        <v>1.63170121</v>
      </c>
    </row>
    <row r="28" spans="1:18">
      <c r="A28" s="15" t="s">
        <v>370</v>
      </c>
      <c r="B28" s="17" t="n">
        <v>3765</v>
      </c>
      <c r="C28" s="18">
        <f>(3322.0/B28*100)</f>
        <v/>
      </c>
      <c r="D28" s="19" t="n">
        <v>443</v>
      </c>
      <c r="E28" s="18" t="n">
        <v>40.52193738</v>
      </c>
      <c r="F28" s="20" t="n">
        <v>2.83434158</v>
      </c>
      <c r="G28" s="18" t="n">
        <v>50.65438918</v>
      </c>
      <c r="H28" s="20" t="n">
        <v>2.65301219</v>
      </c>
      <c r="I28" s="18" t="s">
        <v>349</v>
      </c>
      <c r="J28" s="20" t="s">
        <v>349</v>
      </c>
      <c r="K28" s="18" t="n">
        <v>0</v>
      </c>
      <c r="L28" s="20" t="n">
        <v>0</v>
      </c>
      <c r="M28" s="18" t="n">
        <v>0</v>
      </c>
      <c r="N28" s="20" t="n">
        <v>0</v>
      </c>
      <c r="O28" s="18" t="n">
        <v>0</v>
      </c>
      <c r="P28" s="20" t="n">
        <v>0</v>
      </c>
      <c r="Q28" s="18" t="n">
        <v>8.82367344</v>
      </c>
      <c r="R28" s="20" t="n">
        <v>1.52382679</v>
      </c>
    </row>
    <row r="29" spans="1:18">
      <c r="A29" s="15" t="s">
        <v>371</v>
      </c>
      <c r="B29" s="17" t="n">
        <v>2685</v>
      </c>
      <c r="C29" s="18">
        <f>(2355.0/B29*100)</f>
        <v/>
      </c>
      <c r="D29" s="19" t="n">
        <v>330</v>
      </c>
      <c r="E29" s="18" t="n">
        <v>21.07878141</v>
      </c>
      <c r="F29" s="20" t="n">
        <v>2.45721261</v>
      </c>
      <c r="G29" s="18" t="n">
        <v>71.44142436</v>
      </c>
      <c r="H29" s="20" t="n">
        <v>2.74035657</v>
      </c>
      <c r="I29" s="18" t="s">
        <v>349</v>
      </c>
      <c r="J29" s="20" t="s">
        <v>349</v>
      </c>
      <c r="K29" s="18" t="n">
        <v>0.46434309</v>
      </c>
      <c r="L29" s="20" t="n">
        <v>0.41516156</v>
      </c>
      <c r="M29" s="18" t="n">
        <v>0</v>
      </c>
      <c r="N29" s="20" t="n">
        <v>0</v>
      </c>
      <c r="O29" s="18" t="n">
        <v>0</v>
      </c>
      <c r="P29" s="20" t="n">
        <v>0</v>
      </c>
      <c r="Q29" s="18" t="n">
        <v>7.01545114</v>
      </c>
      <c r="R29" s="20" t="n">
        <v>1.44459889</v>
      </c>
    </row>
    <row r="30" spans="1:18">
      <c r="A30" s="15" t="s">
        <v>372</v>
      </c>
      <c r="B30" s="17" t="n">
        <v>2263</v>
      </c>
      <c r="C30" s="18">
        <f>(1986.0/B30*100)</f>
        <v/>
      </c>
      <c r="D30" s="19" t="n">
        <v>277</v>
      </c>
      <c r="E30" s="18" t="n">
        <v>19.7377867</v>
      </c>
      <c r="F30" s="20" t="n">
        <v>2.44382312</v>
      </c>
      <c r="G30" s="18" t="n">
        <v>71.95072068</v>
      </c>
      <c r="H30" s="20" t="n">
        <v>3.01716681</v>
      </c>
      <c r="I30" s="18" t="s">
        <v>349</v>
      </c>
      <c r="J30" s="20" t="s">
        <v>349</v>
      </c>
      <c r="K30" s="18" t="n">
        <v>0.22378054</v>
      </c>
      <c r="L30" s="20" t="n">
        <v>0.22544975</v>
      </c>
      <c r="M30" s="18" t="n">
        <v>0</v>
      </c>
      <c r="N30" s="20" t="n">
        <v>0</v>
      </c>
      <c r="O30" s="18" t="n">
        <v>0</v>
      </c>
      <c r="P30" s="20" t="n">
        <v>0</v>
      </c>
      <c r="Q30" s="18" t="n">
        <v>8.08771207</v>
      </c>
      <c r="R30" s="20" t="n">
        <v>1.86309798</v>
      </c>
    </row>
    <row r="31" spans="1:18">
      <c r="A31" s="15" t="s">
        <v>373</v>
      </c>
      <c r="B31" s="17" t="n">
        <v>2750</v>
      </c>
      <c r="C31" s="18">
        <f>(2390.0/B31*100)</f>
        <v/>
      </c>
      <c r="D31" s="19" t="n">
        <v>360</v>
      </c>
      <c r="E31" s="18" t="n">
        <v>24.59487884</v>
      </c>
      <c r="F31" s="20" t="n">
        <v>2.4799902</v>
      </c>
      <c r="G31" s="18" t="n">
        <v>64.44119008</v>
      </c>
      <c r="H31" s="20" t="n">
        <v>2.61843667</v>
      </c>
      <c r="I31" s="18" t="s">
        <v>349</v>
      </c>
      <c r="J31" s="20" t="s">
        <v>349</v>
      </c>
      <c r="K31" s="18" t="n">
        <v>0.27116559</v>
      </c>
      <c r="L31" s="20" t="n">
        <v>0.25697781</v>
      </c>
      <c r="M31" s="18" t="n">
        <v>0</v>
      </c>
      <c r="N31" s="20" t="n">
        <v>0</v>
      </c>
      <c r="O31" s="18" t="n">
        <v>0</v>
      </c>
      <c r="P31" s="20" t="n">
        <v>0</v>
      </c>
      <c r="Q31" s="18" t="n">
        <v>10.69276549</v>
      </c>
      <c r="R31" s="20" t="n">
        <v>1.67838343</v>
      </c>
    </row>
    <row r="32" spans="1:18">
      <c r="A32" s="15" t="s">
        <v>374</v>
      </c>
      <c r="B32" s="17" t="n">
        <v>2269</v>
      </c>
      <c r="C32" s="18">
        <f>(1900.0/B32*100)</f>
        <v/>
      </c>
      <c r="D32" s="19" t="n">
        <v>369</v>
      </c>
      <c r="E32" s="18" t="n">
        <v>31.43879443</v>
      </c>
      <c r="F32" s="20" t="n">
        <v>2.3933265</v>
      </c>
      <c r="G32" s="18" t="n">
        <v>65.46014101999999</v>
      </c>
      <c r="H32" s="20" t="n">
        <v>2.492736</v>
      </c>
      <c r="I32" s="18" t="s">
        <v>349</v>
      </c>
      <c r="J32" s="20" t="s">
        <v>349</v>
      </c>
      <c r="K32" s="18" t="n">
        <v>0</v>
      </c>
      <c r="L32" s="20" t="n">
        <v>0</v>
      </c>
      <c r="M32" s="18" t="n">
        <v>0</v>
      </c>
      <c r="N32" s="20" t="n">
        <v>0</v>
      </c>
      <c r="O32" s="18" t="n">
        <v>0</v>
      </c>
      <c r="P32" s="20" t="n">
        <v>0</v>
      </c>
      <c r="Q32" s="18" t="n">
        <v>3.10106456</v>
      </c>
      <c r="R32" s="20" t="n">
        <v>0.99523356</v>
      </c>
    </row>
    <row r="33" spans="1:18">
      <c r="A33" s="15" t="s">
        <v>375</v>
      </c>
      <c r="B33" s="17" t="n">
        <v>3674</v>
      </c>
      <c r="C33" s="18">
        <f>(3204.0/B33*100)</f>
        <v/>
      </c>
      <c r="D33" s="19" t="n">
        <v>470</v>
      </c>
      <c r="E33" s="18" t="n">
        <v>24.81494726</v>
      </c>
      <c r="F33" s="20" t="n">
        <v>2.38716785</v>
      </c>
      <c r="G33" s="18" t="n">
        <v>67.49834181999999</v>
      </c>
      <c r="H33" s="20" t="n">
        <v>2.19578651</v>
      </c>
      <c r="I33" s="18" t="s">
        <v>349</v>
      </c>
      <c r="J33" s="20" t="s">
        <v>349</v>
      </c>
      <c r="K33" s="18" t="n">
        <v>0.81768595</v>
      </c>
      <c r="L33" s="20" t="n">
        <v>0.45786102</v>
      </c>
      <c r="M33" s="18" t="n">
        <v>0</v>
      </c>
      <c r="N33" s="20" t="n">
        <v>0</v>
      </c>
      <c r="O33" s="18" t="n">
        <v>0</v>
      </c>
      <c r="P33" s="20" t="n">
        <v>0</v>
      </c>
      <c r="Q33" s="18" t="n">
        <v>6.86902497</v>
      </c>
      <c r="R33" s="20" t="n">
        <v>1.04811646</v>
      </c>
    </row>
    <row r="34" spans="1:18">
      <c r="A34" s="15" t="s">
        <v>376</v>
      </c>
      <c r="B34" s="17" t="n">
        <v>3315</v>
      </c>
      <c r="C34" s="18">
        <f>(2904.0/B34*100)</f>
        <v/>
      </c>
      <c r="D34" s="19" t="n">
        <v>411</v>
      </c>
      <c r="E34" s="18" t="n">
        <v>27.17015667</v>
      </c>
      <c r="F34" s="20" t="n">
        <v>2.01007696</v>
      </c>
      <c r="G34" s="18" t="n">
        <v>62.86829871</v>
      </c>
      <c r="H34" s="20" t="n">
        <v>2.15941341</v>
      </c>
      <c r="I34" s="18" t="s">
        <v>349</v>
      </c>
      <c r="J34" s="20" t="s">
        <v>349</v>
      </c>
      <c r="K34" s="18" t="n">
        <v>0.36410818</v>
      </c>
      <c r="L34" s="20" t="n">
        <v>0.35984107</v>
      </c>
      <c r="M34" s="18" t="n">
        <v>0</v>
      </c>
      <c r="N34" s="20" t="n">
        <v>0</v>
      </c>
      <c r="O34" s="18" t="n">
        <v>0</v>
      </c>
      <c r="P34" s="20" t="n">
        <v>0</v>
      </c>
      <c r="Q34" s="18" t="n">
        <v>9.597436439999999</v>
      </c>
      <c r="R34" s="20" t="n">
        <v>1.5172529</v>
      </c>
    </row>
    <row r="35" spans="1:18">
      <c r="A35" s="15" t="s">
        <v>377</v>
      </c>
      <c r="B35" s="17" t="n">
        <v>3505</v>
      </c>
      <c r="C35" s="18">
        <f>(3092.0/B35*100)</f>
        <v/>
      </c>
      <c r="D35" s="19" t="n">
        <v>413</v>
      </c>
      <c r="E35" s="18" t="n">
        <v>20.96393178</v>
      </c>
      <c r="F35" s="20" t="n">
        <v>2.32715927</v>
      </c>
      <c r="G35" s="18" t="n">
        <v>73.67226898</v>
      </c>
      <c r="H35" s="20" t="n">
        <v>2.59995517</v>
      </c>
      <c r="I35" s="18" t="s">
        <v>349</v>
      </c>
      <c r="J35" s="20" t="s">
        <v>349</v>
      </c>
      <c r="K35" s="18" t="n">
        <v>0</v>
      </c>
      <c r="L35" s="20" t="n">
        <v>0</v>
      </c>
      <c r="M35" s="18" t="n">
        <v>0</v>
      </c>
      <c r="N35" s="20" t="n">
        <v>0</v>
      </c>
      <c r="O35" s="18" t="n">
        <v>0</v>
      </c>
      <c r="P35" s="20" t="n">
        <v>0</v>
      </c>
      <c r="Q35" s="18" t="n">
        <v>5.36379924</v>
      </c>
      <c r="R35" s="20" t="n">
        <v>1.25713312</v>
      </c>
    </row>
    <row r="36" spans="1:18">
      <c r="A36" s="15" t="s">
        <v>378</v>
      </c>
      <c r="B36" s="17" t="n">
        <v>3332</v>
      </c>
      <c r="C36" s="18">
        <f>(2923.0/B36*100)</f>
        <v/>
      </c>
      <c r="D36" s="19" t="n">
        <v>409</v>
      </c>
      <c r="E36" s="18" t="n">
        <v>23.84426074</v>
      </c>
      <c r="F36" s="20" t="n">
        <v>1.95467179</v>
      </c>
      <c r="G36" s="18" t="n">
        <v>64.3473326</v>
      </c>
      <c r="H36" s="20" t="n">
        <v>2.38251044</v>
      </c>
      <c r="I36" s="18" t="s">
        <v>349</v>
      </c>
      <c r="J36" s="20" t="s">
        <v>349</v>
      </c>
      <c r="K36" s="18" t="n">
        <v>0.59005568</v>
      </c>
      <c r="L36" s="20" t="n">
        <v>0.48180385</v>
      </c>
      <c r="M36" s="18" t="n">
        <v>0</v>
      </c>
      <c r="N36" s="20" t="n">
        <v>0</v>
      </c>
      <c r="O36" s="18" t="n">
        <v>0</v>
      </c>
      <c r="P36" s="20" t="n">
        <v>0</v>
      </c>
      <c r="Q36" s="18" t="n">
        <v>11.21835098</v>
      </c>
      <c r="R36" s="20" t="n">
        <v>1.58850763</v>
      </c>
    </row>
    <row r="37" spans="1:18">
      <c r="A37" s="15" t="s">
        <v>379</v>
      </c>
      <c r="B37" s="17" t="n">
        <v>2727</v>
      </c>
      <c r="C37" s="18">
        <f>(2417.0/B37*100)</f>
        <v/>
      </c>
      <c r="D37" s="19" t="n">
        <v>310</v>
      </c>
      <c r="E37" s="18" t="n">
        <v>20.00411282</v>
      </c>
      <c r="F37" s="20" t="n">
        <v>2.25854776</v>
      </c>
      <c r="G37" s="18" t="n">
        <v>68.84479847999999</v>
      </c>
      <c r="H37" s="20" t="n">
        <v>2.68623515</v>
      </c>
      <c r="I37" s="18" t="s">
        <v>349</v>
      </c>
      <c r="J37" s="20" t="s">
        <v>349</v>
      </c>
      <c r="K37" s="18" t="n">
        <v>1.30841631</v>
      </c>
      <c r="L37" s="20" t="n">
        <v>0.7462282</v>
      </c>
      <c r="M37" s="18" t="n">
        <v>0</v>
      </c>
      <c r="N37" s="20" t="n">
        <v>0</v>
      </c>
      <c r="O37" s="18" t="n">
        <v>0</v>
      </c>
      <c r="P37" s="20" t="n">
        <v>0</v>
      </c>
      <c r="Q37" s="18" t="n">
        <v>9.842672390000001</v>
      </c>
      <c r="R37" s="20" t="n">
        <v>1.70106997</v>
      </c>
    </row>
    <row r="38" spans="1:18">
      <c r="A38" s="15" t="s">
        <v>380</v>
      </c>
      <c r="B38" s="17" t="n">
        <v>3053</v>
      </c>
      <c r="C38" s="18">
        <f>(2553.0/B38*100)</f>
        <v/>
      </c>
      <c r="D38" s="19" t="n">
        <v>500</v>
      </c>
      <c r="E38" s="18" t="n">
        <v>21.88549334</v>
      </c>
      <c r="F38" s="20" t="n">
        <v>2.40740815</v>
      </c>
      <c r="G38" s="18" t="n">
        <v>72.77724698</v>
      </c>
      <c r="H38" s="20" t="n">
        <v>2.45998399</v>
      </c>
      <c r="I38" s="18" t="s">
        <v>349</v>
      </c>
      <c r="J38" s="20" t="s">
        <v>349</v>
      </c>
      <c r="K38" s="18" t="n">
        <v>0.46790229</v>
      </c>
      <c r="L38" s="20" t="n">
        <v>0.320193</v>
      </c>
      <c r="M38" s="18" t="n">
        <v>0</v>
      </c>
      <c r="N38" s="20" t="n">
        <v>0</v>
      </c>
      <c r="O38" s="18" t="n">
        <v>0</v>
      </c>
      <c r="P38" s="20" t="n">
        <v>0</v>
      </c>
      <c r="Q38" s="18" t="n">
        <v>4.86935739</v>
      </c>
      <c r="R38" s="20" t="n">
        <v>0.98875053</v>
      </c>
    </row>
    <row r="39" spans="1:18">
      <c r="A39" s="15" t="s">
        <v>381</v>
      </c>
      <c r="B39" s="17" t="n">
        <v>2957</v>
      </c>
      <c r="C39" s="18">
        <f>(2593.0/B39*100)</f>
        <v/>
      </c>
      <c r="D39" s="19" t="n">
        <v>364</v>
      </c>
      <c r="E39" s="18" t="n">
        <v>36.32785563</v>
      </c>
      <c r="F39" s="20" t="n">
        <v>2.75354379</v>
      </c>
      <c r="G39" s="18" t="n">
        <v>52.47625277</v>
      </c>
      <c r="H39" s="20" t="n">
        <v>3.07659394</v>
      </c>
      <c r="I39" s="18" t="s">
        <v>349</v>
      </c>
      <c r="J39" s="20" t="s">
        <v>349</v>
      </c>
      <c r="K39" s="18" t="n">
        <v>0</v>
      </c>
      <c r="L39" s="20" t="n">
        <v>0</v>
      </c>
      <c r="M39" s="18" t="n">
        <v>0</v>
      </c>
      <c r="N39" s="20" t="n">
        <v>0</v>
      </c>
      <c r="O39" s="18" t="n">
        <v>0</v>
      </c>
      <c r="P39" s="20" t="n">
        <v>0</v>
      </c>
      <c r="Q39" s="18" t="n">
        <v>11.1958916</v>
      </c>
      <c r="R39" s="20" t="n">
        <v>2.1723912</v>
      </c>
    </row>
    <row r="40" spans="1:18">
      <c r="A40" s="15" t="s">
        <v>382</v>
      </c>
      <c r="B40" s="17" t="n">
        <v>7235</v>
      </c>
      <c r="C40" s="18">
        <f>(6326.0/B40*100)</f>
        <v/>
      </c>
      <c r="D40" s="19" t="n">
        <v>909</v>
      </c>
      <c r="E40" s="18" t="n">
        <v>23.29476259</v>
      </c>
      <c r="F40" s="20" t="n">
        <v>2.16937167</v>
      </c>
      <c r="G40" s="18" t="n">
        <v>70.07185779</v>
      </c>
      <c r="H40" s="20" t="n">
        <v>2.20065212</v>
      </c>
      <c r="I40" s="18" t="s">
        <v>349</v>
      </c>
      <c r="J40" s="20" t="s">
        <v>349</v>
      </c>
      <c r="K40" s="18" t="n">
        <v>0.57107822</v>
      </c>
      <c r="L40" s="20" t="n">
        <v>0.51379312</v>
      </c>
      <c r="M40" s="18" t="n">
        <v>0</v>
      </c>
      <c r="N40" s="20" t="n">
        <v>0</v>
      </c>
      <c r="O40" s="18" t="n">
        <v>0</v>
      </c>
      <c r="P40" s="20" t="n">
        <v>0</v>
      </c>
      <c r="Q40" s="18" t="n">
        <v>6.06230139</v>
      </c>
      <c r="R40" s="20" t="n">
        <v>1.18928898</v>
      </c>
    </row>
    <row r="41" spans="1:18">
      <c r="A41" s="15" t="s">
        <v>383</v>
      </c>
      <c r="B41" s="17" t="n">
        <v>2858</v>
      </c>
      <c r="C41" s="18">
        <f>(2532.0/B41*100)</f>
        <v/>
      </c>
      <c r="D41" s="19" t="n">
        <v>326</v>
      </c>
      <c r="E41" s="18" t="n">
        <v>31.0361165</v>
      </c>
      <c r="F41" s="20" t="n">
        <v>2.64008241</v>
      </c>
      <c r="G41" s="18" t="n">
        <v>62.54828308</v>
      </c>
      <c r="H41" s="20" t="n">
        <v>2.68502105</v>
      </c>
      <c r="I41" s="18" t="s">
        <v>349</v>
      </c>
      <c r="J41" s="20" t="s">
        <v>349</v>
      </c>
      <c r="K41" s="18" t="n">
        <v>0.28564176</v>
      </c>
      <c r="L41" s="20" t="n">
        <v>0.27762243</v>
      </c>
      <c r="M41" s="18" t="n">
        <v>0</v>
      </c>
      <c r="N41" s="20" t="n">
        <v>0</v>
      </c>
      <c r="O41" s="18" t="n">
        <v>0</v>
      </c>
      <c r="P41" s="20" t="n">
        <v>0</v>
      </c>
      <c r="Q41" s="18" t="n">
        <v>6.12995866</v>
      </c>
      <c r="R41" s="20" t="n">
        <v>1.31149155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(9796.0/B46*100)</f>
        <v/>
      </c>
      <c r="D46" s="19" t="n">
        <v>1272</v>
      </c>
      <c r="E46" s="18" t="n">
        <v>36.57845824</v>
      </c>
      <c r="F46" s="20" t="n">
        <v>1.80360501</v>
      </c>
      <c r="G46" s="18" t="n">
        <v>42.61507373</v>
      </c>
      <c r="H46" s="20" t="n">
        <v>2.06866454</v>
      </c>
      <c r="I46" s="18" t="s">
        <v>349</v>
      </c>
      <c r="J46" s="20" t="s">
        <v>349</v>
      </c>
      <c r="K46" s="18" t="n">
        <v>0.70554197</v>
      </c>
      <c r="L46" s="20" t="n">
        <v>0.3056372</v>
      </c>
      <c r="M46" s="18" t="n">
        <v>0</v>
      </c>
      <c r="N46" s="20" t="n">
        <v>0</v>
      </c>
      <c r="O46" s="18" t="n">
        <v>0</v>
      </c>
      <c r="P46" s="20" t="n">
        <v>0</v>
      </c>
      <c r="Q46" s="18" t="n">
        <v>20.10092606</v>
      </c>
      <c r="R46" s="20" t="n">
        <v>1.6512648</v>
      </c>
    </row>
    <row r="47" spans="1:18">
      <c r="A47" s="15" t="s">
        <v>389</v>
      </c>
      <c r="B47" s="17" t="n">
        <v>3105</v>
      </c>
      <c r="C47" s="18">
        <f>(2729.0/B47*100)</f>
        <v/>
      </c>
      <c r="D47" s="19" t="n">
        <v>376</v>
      </c>
      <c r="E47" s="18" t="n">
        <v>24.59723939</v>
      </c>
      <c r="F47" s="20" t="n">
        <v>2.49812989</v>
      </c>
      <c r="G47" s="18" t="n">
        <v>59.44156205</v>
      </c>
      <c r="H47" s="20" t="n">
        <v>2.79541094</v>
      </c>
      <c r="I47" s="18" t="s">
        <v>349</v>
      </c>
      <c r="J47" s="20" t="s">
        <v>349</v>
      </c>
      <c r="K47" s="18" t="n">
        <v>0.77213195</v>
      </c>
      <c r="L47" s="20" t="n">
        <v>0.44508546</v>
      </c>
      <c r="M47" s="18" t="n">
        <v>0</v>
      </c>
      <c r="N47" s="20" t="n">
        <v>0</v>
      </c>
      <c r="O47" s="18" t="n">
        <v>0</v>
      </c>
      <c r="P47" s="20" t="n">
        <v>0</v>
      </c>
      <c r="Q47" s="18" t="n">
        <v>15.18906662</v>
      </c>
      <c r="R47" s="20" t="n">
        <v>2.12565999</v>
      </c>
    </row>
    <row r="48" spans="1:18">
      <c r="A48" s="15" t="s">
        <v>390</v>
      </c>
      <c r="B48" s="17" t="n">
        <v>5159</v>
      </c>
      <c r="C48" s="18">
        <f>(4499.0/B48*100)</f>
        <v/>
      </c>
      <c r="D48" s="19" t="n">
        <v>660</v>
      </c>
      <c r="E48" s="18" t="n">
        <v>22.88729323</v>
      </c>
      <c r="F48" s="20" t="n">
        <v>1.87092768</v>
      </c>
      <c r="G48" s="18" t="n">
        <v>67.66724261</v>
      </c>
      <c r="H48" s="20" t="n">
        <v>2.2623766</v>
      </c>
      <c r="I48" s="18" t="s">
        <v>349</v>
      </c>
      <c r="J48" s="20" t="s">
        <v>349</v>
      </c>
      <c r="K48" s="18" t="n">
        <v>0.2854918</v>
      </c>
      <c r="L48" s="20" t="n">
        <v>0.21271261</v>
      </c>
      <c r="M48" s="18" t="n">
        <v>0</v>
      </c>
      <c r="N48" s="20" t="n">
        <v>0</v>
      </c>
      <c r="O48" s="18" t="n">
        <v>0</v>
      </c>
      <c r="P48" s="20" t="n">
        <v>0</v>
      </c>
      <c r="Q48" s="18" t="n">
        <v>9.159972359999999</v>
      </c>
      <c r="R48" s="20" t="n">
        <v>1.13952137</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(4958.0/B50*100)</f>
        <v/>
      </c>
      <c r="D50" s="19" t="n">
        <v>679</v>
      </c>
      <c r="E50" s="18" t="n">
        <v>51.97254767</v>
      </c>
      <c r="F50" s="20" t="n">
        <v>2.4015795</v>
      </c>
      <c r="G50" s="18" t="n">
        <v>37.53397254</v>
      </c>
      <c r="H50" s="20" t="n">
        <v>2.67898395</v>
      </c>
      <c r="I50" s="18" t="s">
        <v>349</v>
      </c>
      <c r="J50" s="20" t="s">
        <v>349</v>
      </c>
      <c r="K50" s="18" t="n">
        <v>0.26716937</v>
      </c>
      <c r="L50" s="20" t="n">
        <v>0.24438196</v>
      </c>
      <c r="M50" s="18" t="n">
        <v>0</v>
      </c>
      <c r="N50" s="20" t="n">
        <v>0</v>
      </c>
      <c r="O50" s="18" t="n">
        <v>0</v>
      </c>
      <c r="P50" s="20" t="n">
        <v>0</v>
      </c>
      <c r="Q50" s="18" t="n">
        <v>10.22631042</v>
      </c>
      <c r="R50" s="20" t="n">
        <v>1.66678014</v>
      </c>
    </row>
    <row r="51" spans="1:18">
      <c r="A51" s="15" t="s">
        <v>393</v>
      </c>
      <c r="B51" s="17" t="n">
        <v>3372</v>
      </c>
      <c r="C51" s="18">
        <f>(3025.0/B51*100)</f>
        <v/>
      </c>
      <c r="D51" s="19" t="n">
        <v>347</v>
      </c>
      <c r="E51" s="18" t="n">
        <v>38.59800561</v>
      </c>
      <c r="F51" s="20" t="n">
        <v>3.0428875</v>
      </c>
      <c r="G51" s="18" t="n">
        <v>52.19151361</v>
      </c>
      <c r="H51" s="20" t="n">
        <v>3.26621313</v>
      </c>
      <c r="I51" s="18" t="s">
        <v>349</v>
      </c>
      <c r="J51" s="20" t="s">
        <v>349</v>
      </c>
      <c r="K51" s="18" t="n">
        <v>0.39096232</v>
      </c>
      <c r="L51" s="20" t="n">
        <v>0.38836282</v>
      </c>
      <c r="M51" s="18" t="n">
        <v>0</v>
      </c>
      <c r="N51" s="20" t="n">
        <v>0</v>
      </c>
      <c r="O51" s="18" t="n">
        <v>0</v>
      </c>
      <c r="P51" s="20" t="n">
        <v>0</v>
      </c>
      <c r="Q51" s="18" t="n">
        <v>8.819518459999999</v>
      </c>
      <c r="R51" s="20" t="n">
        <v>1.83705662</v>
      </c>
    </row>
    <row r="52" spans="1:18">
      <c r="A52" s="15" t="s">
        <v>394</v>
      </c>
      <c r="B52" s="17" t="n">
        <v>2796</v>
      </c>
      <c r="C52" s="18">
        <f>(2446.0/B52*100)</f>
        <v/>
      </c>
      <c r="D52" s="19" t="n">
        <v>350</v>
      </c>
      <c r="E52" s="18" t="n">
        <v>27.33620245</v>
      </c>
      <c r="F52" s="20" t="n">
        <v>2.66462594</v>
      </c>
      <c r="G52" s="18" t="n">
        <v>64.43661299999999</v>
      </c>
      <c r="H52" s="20" t="n">
        <v>3.21558985</v>
      </c>
      <c r="I52" s="18" t="s">
        <v>349</v>
      </c>
      <c r="J52" s="20" t="s">
        <v>349</v>
      </c>
      <c r="K52" s="18" t="n">
        <v>0</v>
      </c>
      <c r="L52" s="20" t="n">
        <v>0</v>
      </c>
      <c r="M52" s="18" t="n">
        <v>0</v>
      </c>
      <c r="N52" s="20" t="n">
        <v>0</v>
      </c>
      <c r="O52" s="18" t="n">
        <v>0</v>
      </c>
      <c r="P52" s="20" t="n">
        <v>0</v>
      </c>
      <c r="Q52" s="18" t="n">
        <v>8.22718455</v>
      </c>
      <c r="R52" s="20" t="n">
        <v>1.36750458</v>
      </c>
    </row>
    <row r="53" spans="1:18">
      <c r="A53" s="15" t="s">
        <v>395</v>
      </c>
      <c r="B53" s="17" t="n">
        <v>2811</v>
      </c>
      <c r="C53" s="18">
        <f>(2450.0/B53*100)</f>
        <v/>
      </c>
      <c r="D53" s="19" t="n">
        <v>361</v>
      </c>
      <c r="E53" s="18" t="n">
        <v>28.95476306</v>
      </c>
      <c r="F53" s="20" t="n">
        <v>2.87538024</v>
      </c>
      <c r="G53" s="18" t="n">
        <v>56.69249733</v>
      </c>
      <c r="H53" s="20" t="n">
        <v>3.16214417</v>
      </c>
      <c r="I53" s="18" t="s">
        <v>349</v>
      </c>
      <c r="J53" s="20" t="s">
        <v>349</v>
      </c>
      <c r="K53" s="18" t="n">
        <v>0.6665042799999999</v>
      </c>
      <c r="L53" s="20" t="n">
        <v>0.38982538</v>
      </c>
      <c r="M53" s="18" t="n">
        <v>0</v>
      </c>
      <c r="N53" s="20" t="n">
        <v>0</v>
      </c>
      <c r="O53" s="18" t="n">
        <v>0</v>
      </c>
      <c r="P53" s="20" t="n">
        <v>0</v>
      </c>
      <c r="Q53" s="18" t="n">
        <v>13.68623533</v>
      </c>
      <c r="R53" s="20" t="n">
        <v>2.1507956</v>
      </c>
    </row>
    <row r="54" spans="1:18">
      <c r="A54" s="15" t="s">
        <v>396</v>
      </c>
      <c r="B54" s="17" t="n">
        <v>2266</v>
      </c>
      <c r="C54" s="18">
        <f>(1861.0/B54*100)</f>
        <v/>
      </c>
      <c r="D54" s="19" t="n">
        <v>405</v>
      </c>
      <c r="E54" s="18" t="n">
        <v>49.1612886</v>
      </c>
      <c r="F54" s="20" t="n">
        <v>2.68803635</v>
      </c>
      <c r="G54" s="18" t="n">
        <v>18.4541189</v>
      </c>
      <c r="H54" s="20" t="n">
        <v>1.98596181</v>
      </c>
      <c r="I54" s="18" t="s">
        <v>349</v>
      </c>
      <c r="J54" s="20" t="s">
        <v>349</v>
      </c>
      <c r="K54" s="18" t="n">
        <v>4.06701232</v>
      </c>
      <c r="L54" s="20" t="n">
        <v>1.11933286</v>
      </c>
      <c r="M54" s="18" t="n">
        <v>0</v>
      </c>
      <c r="N54" s="20" t="n">
        <v>0</v>
      </c>
      <c r="O54" s="18" t="n">
        <v>0</v>
      </c>
      <c r="P54" s="20" t="n">
        <v>0</v>
      </c>
      <c r="Q54" s="18" t="n">
        <v>28.31758019</v>
      </c>
      <c r="R54" s="20" t="n">
        <v>2.34255146</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(2357.0/B56*100)</f>
        <v/>
      </c>
      <c r="D56" s="19" t="n">
        <v>327</v>
      </c>
      <c r="E56" s="18" t="n">
        <v>19.17820665</v>
      </c>
      <c r="F56" s="20" t="n">
        <v>2.38961104</v>
      </c>
      <c r="G56" s="18" t="n">
        <v>75.53749007</v>
      </c>
      <c r="H56" s="20" t="n">
        <v>2.56684114</v>
      </c>
      <c r="I56" s="18" t="s">
        <v>349</v>
      </c>
      <c r="J56" s="20" t="s">
        <v>349</v>
      </c>
      <c r="K56" s="18" t="n">
        <v>0</v>
      </c>
      <c r="L56" s="20" t="n">
        <v>0</v>
      </c>
      <c r="M56" s="18" t="n">
        <v>0</v>
      </c>
      <c r="N56" s="20" t="n">
        <v>0</v>
      </c>
      <c r="O56" s="18" t="n">
        <v>0</v>
      </c>
      <c r="P56" s="20" t="n">
        <v>0</v>
      </c>
      <c r="Q56" s="18" t="n">
        <v>5.28430328</v>
      </c>
      <c r="R56" s="20" t="n">
        <v>1.1729334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(2896.0/B61*100)</f>
        <v/>
      </c>
      <c r="D61" s="19" t="n">
        <v>428</v>
      </c>
      <c r="E61" s="18" t="n">
        <v>30.91466583</v>
      </c>
      <c r="F61" s="20" t="n">
        <v>2.36822264</v>
      </c>
      <c r="G61" s="18" t="n">
        <v>60.32370763</v>
      </c>
      <c r="H61" s="20" t="n">
        <v>2.35503539</v>
      </c>
      <c r="I61" s="18" t="s">
        <v>349</v>
      </c>
      <c r="J61" s="20" t="s">
        <v>349</v>
      </c>
      <c r="K61" s="18" t="n">
        <v>0</v>
      </c>
      <c r="L61" s="20" t="n">
        <v>0</v>
      </c>
      <c r="M61" s="18" t="n">
        <v>0</v>
      </c>
      <c r="N61" s="20" t="n">
        <v>0</v>
      </c>
      <c r="O61" s="18" t="n">
        <v>0</v>
      </c>
      <c r="P61" s="20" t="n">
        <v>0</v>
      </c>
      <c r="Q61" s="18" t="n">
        <v>8.761626550000001</v>
      </c>
      <c r="R61" s="20" t="n">
        <v>1.50840578</v>
      </c>
    </row>
    <row r="62" spans="1:18">
      <c r="A62" s="15" t="s">
        <v>404</v>
      </c>
      <c r="B62" s="17" t="n">
        <v>2246</v>
      </c>
      <c r="C62" s="18">
        <f>(1978.0/B62*100)</f>
        <v/>
      </c>
      <c r="D62" s="19" t="n">
        <v>268</v>
      </c>
      <c r="E62" s="18" t="n">
        <v>17.14926457</v>
      </c>
      <c r="F62" s="20" t="n">
        <v>2.41085853</v>
      </c>
      <c r="G62" s="18" t="n">
        <v>80.61293658</v>
      </c>
      <c r="H62" s="20" t="n">
        <v>2.36425462</v>
      </c>
      <c r="I62" s="18" t="s">
        <v>349</v>
      </c>
      <c r="J62" s="20" t="s">
        <v>349</v>
      </c>
      <c r="K62" s="18" t="n">
        <v>0</v>
      </c>
      <c r="L62" s="20" t="n">
        <v>0</v>
      </c>
      <c r="M62" s="18" t="n">
        <v>0</v>
      </c>
      <c r="N62" s="20" t="n">
        <v>0</v>
      </c>
      <c r="O62" s="18" t="n">
        <v>0</v>
      </c>
      <c r="P62" s="20" t="n">
        <v>0</v>
      </c>
      <c r="Q62" s="18" t="n">
        <v>2.23779885</v>
      </c>
      <c r="R62" s="20" t="n">
        <v>0.85215672</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(2530.0/B66*100)</f>
        <v/>
      </c>
      <c r="D66" s="19" t="n">
        <v>364</v>
      </c>
      <c r="E66" s="18" t="n">
        <v>36.35961313</v>
      </c>
      <c r="F66" s="20" t="n">
        <v>2.56556624</v>
      </c>
      <c r="G66" s="18" t="n">
        <v>44.91130397</v>
      </c>
      <c r="H66" s="20" t="n">
        <v>2.54468473</v>
      </c>
      <c r="I66" s="18" t="s">
        <v>349</v>
      </c>
      <c r="J66" s="20" t="s">
        <v>349</v>
      </c>
      <c r="K66" s="18" t="n">
        <v>0.9521248</v>
      </c>
      <c r="L66" s="20" t="n">
        <v>0.53492671</v>
      </c>
      <c r="M66" s="18" t="n">
        <v>0</v>
      </c>
      <c r="N66" s="20" t="n">
        <v>0</v>
      </c>
      <c r="O66" s="18" t="n">
        <v>0</v>
      </c>
      <c r="P66" s="20" t="n">
        <v>0</v>
      </c>
      <c r="Q66" s="18" t="n">
        <v>17.7769581</v>
      </c>
      <c r="R66" s="20" t="n">
        <v>1.80825395</v>
      </c>
    </row>
    <row r="67" spans="1:18">
      <c r="A67" s="15" t="s">
        <v>409</v>
      </c>
      <c r="B67" s="17" t="n">
        <v>3511</v>
      </c>
      <c r="C67" s="18">
        <f>(3096.0/B67*100)</f>
        <v/>
      </c>
      <c r="D67" s="19" t="n">
        <v>415</v>
      </c>
      <c r="E67" s="18" t="n">
        <v>46.45459527</v>
      </c>
      <c r="F67" s="20" t="n">
        <v>2.41514992</v>
      </c>
      <c r="G67" s="18" t="n">
        <v>39.65811664</v>
      </c>
      <c r="H67" s="20" t="n">
        <v>2.40906539</v>
      </c>
      <c r="I67" s="18" t="s">
        <v>349</v>
      </c>
      <c r="J67" s="20" t="s">
        <v>349</v>
      </c>
      <c r="K67" s="18" t="n">
        <v>0</v>
      </c>
      <c r="L67" s="20" t="n">
        <v>0</v>
      </c>
      <c r="M67" s="18" t="n">
        <v>0</v>
      </c>
      <c r="N67" s="20" t="n">
        <v>0</v>
      </c>
      <c r="O67" s="18" t="n">
        <v>0</v>
      </c>
      <c r="P67" s="20" t="n">
        <v>0</v>
      </c>
      <c r="Q67" s="18" t="n">
        <v>13.88728809</v>
      </c>
      <c r="R67" s="20" t="n">
        <v>1.76338758</v>
      </c>
    </row>
    <row r="68" spans="1:18">
      <c r="A68" s="15" t="s">
        <v>410</v>
      </c>
      <c r="B68" s="17" t="n">
        <v>6049</v>
      </c>
      <c r="C68" s="18">
        <f>(5042.0/B68*100)</f>
        <v/>
      </c>
      <c r="D68" s="19" t="n">
        <v>1007</v>
      </c>
      <c r="E68" s="18" t="n">
        <v>31.93540117</v>
      </c>
      <c r="F68" s="20" t="n">
        <v>1.47460663</v>
      </c>
      <c r="G68" s="18" t="n">
        <v>37.52114076</v>
      </c>
      <c r="H68" s="20" t="n">
        <v>1.33801385</v>
      </c>
      <c r="I68" s="18" t="s">
        <v>349</v>
      </c>
      <c r="J68" s="20" t="s">
        <v>349</v>
      </c>
      <c r="K68" s="18" t="n">
        <v>2.6215416</v>
      </c>
      <c r="L68" s="20" t="n">
        <v>0.49987134</v>
      </c>
      <c r="M68" s="18" t="n">
        <v>0</v>
      </c>
      <c r="N68" s="20" t="n">
        <v>0</v>
      </c>
      <c r="O68" s="18" t="n">
        <v>0</v>
      </c>
      <c r="P68" s="20" t="n">
        <v>0</v>
      </c>
      <c r="Q68" s="18" t="n">
        <v>27.92191647</v>
      </c>
      <c r="R68" s="20" t="n">
        <v>1.38156814</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(2571.0/B70*100)</f>
        <v/>
      </c>
      <c r="D70" s="19" t="n">
        <v>358</v>
      </c>
      <c r="E70" s="18" t="n">
        <v>25.5906156</v>
      </c>
      <c r="F70" s="20" t="n">
        <v>2.62954171</v>
      </c>
      <c r="G70" s="18" t="n">
        <v>64.65490051</v>
      </c>
      <c r="H70" s="20" t="n">
        <v>3.07286955</v>
      </c>
      <c r="I70" s="18" t="s">
        <v>349</v>
      </c>
      <c r="J70" s="20" t="s">
        <v>349</v>
      </c>
      <c r="K70" s="18" t="n">
        <v>0</v>
      </c>
      <c r="L70" s="20" t="n">
        <v>0</v>
      </c>
      <c r="M70" s="18" t="n">
        <v>0</v>
      </c>
      <c r="N70" s="20" t="n">
        <v>0</v>
      </c>
      <c r="O70" s="18" t="n">
        <v>0</v>
      </c>
      <c r="P70" s="20" t="n">
        <v>0</v>
      </c>
      <c r="Q70" s="18" t="n">
        <v>9.75448388</v>
      </c>
      <c r="R70" s="20" t="n">
        <v>1.65889679</v>
      </c>
    </row>
    <row r="71" spans="1:18">
      <c r="A71" s="15" t="s">
        <v>413</v>
      </c>
      <c r="B71" s="17" t="n">
        <v>3142</v>
      </c>
      <c r="C71" s="18">
        <f>(2753.0/B71*100)</f>
        <v/>
      </c>
      <c r="D71" s="19" t="n">
        <v>389</v>
      </c>
      <c r="E71" s="18" t="n">
        <v>13.59119724</v>
      </c>
      <c r="F71" s="20" t="n">
        <v>1.82321416</v>
      </c>
      <c r="G71" s="18" t="n">
        <v>82.60999911</v>
      </c>
      <c r="H71" s="20" t="n">
        <v>2.13773721</v>
      </c>
      <c r="I71" s="18" t="s">
        <v>349</v>
      </c>
      <c r="J71" s="20" t="s">
        <v>349</v>
      </c>
      <c r="K71" s="18" t="n">
        <v>0.30672995</v>
      </c>
      <c r="L71" s="20" t="n">
        <v>0.21109813</v>
      </c>
      <c r="M71" s="18" t="n">
        <v>0</v>
      </c>
      <c r="N71" s="20" t="n">
        <v>0</v>
      </c>
      <c r="O71" s="18" t="n">
        <v>0</v>
      </c>
      <c r="P71" s="20" t="n">
        <v>0</v>
      </c>
      <c r="Q71" s="18" t="n">
        <v>3.4920737</v>
      </c>
      <c r="R71" s="20" t="n">
        <v>1.17325253</v>
      </c>
    </row>
    <row r="72" spans="1:18">
      <c r="A72" s="15" t="s">
        <v>414</v>
      </c>
      <c r="B72" s="17" t="n">
        <v>3889</v>
      </c>
      <c r="C72" s="18">
        <f>(3422.0/B72*100)</f>
        <v/>
      </c>
      <c r="D72" s="19" t="n">
        <v>467</v>
      </c>
      <c r="E72" s="18" t="n">
        <v>17.81119102</v>
      </c>
      <c r="F72" s="20" t="n">
        <v>1.96999517</v>
      </c>
      <c r="G72" s="18" t="n">
        <v>77.96698721999999</v>
      </c>
      <c r="H72" s="20" t="n">
        <v>2.03702521</v>
      </c>
      <c r="I72" s="18" t="s">
        <v>349</v>
      </c>
      <c r="J72" s="20" t="s">
        <v>349</v>
      </c>
      <c r="K72" s="18" t="n">
        <v>0</v>
      </c>
      <c r="L72" s="20" t="n">
        <v>0</v>
      </c>
      <c r="M72" s="18" t="n">
        <v>0</v>
      </c>
      <c r="N72" s="20" t="n">
        <v>0</v>
      </c>
      <c r="O72" s="18" t="n">
        <v>0</v>
      </c>
      <c r="P72" s="20" t="n">
        <v>0</v>
      </c>
      <c r="Q72" s="18" t="n">
        <v>4.22182176</v>
      </c>
      <c r="R72" s="20" t="n">
        <v>0.94644334</v>
      </c>
    </row>
    <row r="73" spans="1:18">
      <c r="A73" s="15" t="s">
        <v>415</v>
      </c>
      <c r="B73" s="17" t="n">
        <v>3597</v>
      </c>
      <c r="C73" s="18">
        <f>(3168.0/B73*100)</f>
        <v/>
      </c>
      <c r="D73" s="19" t="n">
        <v>429</v>
      </c>
      <c r="E73" s="18" t="n">
        <v>48.90189558</v>
      </c>
      <c r="F73" s="20" t="n">
        <v>2.86672627</v>
      </c>
      <c r="G73" s="18" t="n">
        <v>38.90349047</v>
      </c>
      <c r="H73" s="20" t="n">
        <v>2.82960588</v>
      </c>
      <c r="I73" s="18" t="s">
        <v>349</v>
      </c>
      <c r="J73" s="20" t="s">
        <v>349</v>
      </c>
      <c r="K73" s="18" t="n">
        <v>0</v>
      </c>
      <c r="L73" s="20" t="n">
        <v>0</v>
      </c>
      <c r="M73" s="18" t="n">
        <v>0</v>
      </c>
      <c r="N73" s="20" t="n">
        <v>0</v>
      </c>
      <c r="O73" s="18" t="n">
        <v>0</v>
      </c>
      <c r="P73" s="20" t="n">
        <v>0</v>
      </c>
      <c r="Q73" s="18" t="n">
        <v>12.19461395</v>
      </c>
      <c r="R73" s="20" t="n">
        <v>1.86102249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(2133.0/B75*100)</f>
        <v/>
      </c>
      <c r="D75" s="19" t="n">
        <v>273</v>
      </c>
      <c r="E75" s="18" t="n">
        <v>42.95750422</v>
      </c>
      <c r="F75" s="20" t="n">
        <v>3.21052835</v>
      </c>
      <c r="G75" s="18" t="n">
        <v>36.64887411</v>
      </c>
      <c r="H75" s="20" t="n">
        <v>2.93655791</v>
      </c>
      <c r="I75" s="18" t="s">
        <v>349</v>
      </c>
      <c r="J75" s="20" t="s">
        <v>349</v>
      </c>
      <c r="K75" s="18" t="n">
        <v>1.62767442</v>
      </c>
      <c r="L75" s="20" t="n">
        <v>0.73018898</v>
      </c>
      <c r="M75" s="18" t="n">
        <v>0</v>
      </c>
      <c r="N75" s="20" t="n">
        <v>0</v>
      </c>
      <c r="O75" s="18" t="n">
        <v>0</v>
      </c>
      <c r="P75" s="20" t="n">
        <v>0</v>
      </c>
      <c r="Q75" s="18" t="n">
        <v>18.76594725</v>
      </c>
      <c r="R75" s="20" t="n">
        <v>2.414442</v>
      </c>
    </row>
    <row r="76" spans="1:18">
      <c r="A76" s="15" t="s">
        <v>418</v>
      </c>
      <c r="B76" s="17" t="n">
        <v>7052</v>
      </c>
      <c r="C76" s="18">
        <f>(6173.0/B76*100)</f>
        <v/>
      </c>
      <c r="D76" s="19" t="n">
        <v>879</v>
      </c>
      <c r="E76" s="18" t="n">
        <v>35.414241</v>
      </c>
      <c r="F76" s="20" t="n">
        <v>2.13433344</v>
      </c>
      <c r="G76" s="18" t="n">
        <v>48.74146506</v>
      </c>
      <c r="H76" s="20" t="n">
        <v>2.2379127</v>
      </c>
      <c r="I76" s="18" t="s">
        <v>349</v>
      </c>
      <c r="J76" s="20" t="s">
        <v>349</v>
      </c>
      <c r="K76" s="18" t="n">
        <v>0.75220133</v>
      </c>
      <c r="L76" s="20" t="n">
        <v>0.34779384</v>
      </c>
      <c r="M76" s="18" t="n">
        <v>0</v>
      </c>
      <c r="N76" s="20" t="n">
        <v>0</v>
      </c>
      <c r="O76" s="18" t="n">
        <v>0</v>
      </c>
      <c r="P76" s="20" t="n">
        <v>0</v>
      </c>
      <c r="Q76" s="18" t="n">
        <v>15.09209261</v>
      </c>
      <c r="R76" s="20" t="n">
        <v>1.52315229</v>
      </c>
    </row>
    <row r="77" spans="1:18">
      <c r="A77" s="15" t="s">
        <v>419</v>
      </c>
      <c r="B77" s="17" t="n">
        <v>2908</v>
      </c>
      <c r="C77" s="18">
        <f>(2567.0/B77*100)</f>
        <v/>
      </c>
      <c r="D77" s="19" t="n">
        <v>341</v>
      </c>
      <c r="E77" s="18" t="n">
        <v>33.54100993</v>
      </c>
      <c r="F77" s="20" t="n">
        <v>2.40614976</v>
      </c>
      <c r="G77" s="18" t="n">
        <v>49.6556625</v>
      </c>
      <c r="H77" s="20" t="n">
        <v>2.84249662</v>
      </c>
      <c r="I77" s="18" t="s">
        <v>349</v>
      </c>
      <c r="J77" s="20" t="s">
        <v>349</v>
      </c>
      <c r="K77" s="18" t="n">
        <v>1.05696622</v>
      </c>
      <c r="L77" s="20" t="n">
        <v>0.69846123</v>
      </c>
      <c r="M77" s="18" t="n">
        <v>0</v>
      </c>
      <c r="N77" s="20" t="n">
        <v>0</v>
      </c>
      <c r="O77" s="18" t="n">
        <v>0</v>
      </c>
      <c r="P77" s="20" t="n">
        <v>0</v>
      </c>
      <c r="Q77" s="18" t="n">
        <v>15.74636135</v>
      </c>
      <c r="R77" s="20" t="n">
        <v>1.85754602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43.78841754</v>
      </c>
      <c r="F81" s="20" t="n">
        <v>2.50195779</v>
      </c>
      <c r="G81" s="18" t="n">
        <v>49.0752578</v>
      </c>
      <c r="H81" s="20" t="n">
        <v>2.50246292</v>
      </c>
      <c r="I81" s="18" t="s">
        <v>349</v>
      </c>
      <c r="J81" s="20" t="s">
        <v>349</v>
      </c>
      <c r="K81" s="18" t="n">
        <v>0.29538261</v>
      </c>
      <c r="L81" s="20" t="n">
        <v>0.27754559</v>
      </c>
      <c r="M81" s="18" t="n">
        <v>0</v>
      </c>
      <c r="N81" s="20" t="n">
        <v>0</v>
      </c>
      <c r="O81" s="18" t="n">
        <v>0</v>
      </c>
      <c r="P81" s="20" t="n">
        <v>0</v>
      </c>
      <c r="Q81" s="18" t="n">
        <v>6.84094206</v>
      </c>
      <c r="R81" s="20" t="n">
        <v>1.26144485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331</v>
      </c>
    </row>
    <row r="2" spans="1:28">
      <c r="A2" s="5" t="s">
        <v>446</v>
      </c>
    </row>
    <row customHeight="1" ht="30" r="4" spans="1:28">
      <c r="A4" s="6" t="n"/>
      <c r="B4" s="7" t="s">
        <v>333</v>
      </c>
      <c r="C4" s="7" t="s">
        <v>334</v>
      </c>
      <c r="D4" s="8" t="s">
        <v>333</v>
      </c>
      <c r="E4" s="9" t="s">
        <v>440</v>
      </c>
      <c r="F4" s="10" t="n"/>
      <c r="G4" s="9" t="s">
        <v>441</v>
      </c>
      <c r="H4" s="10" t="n"/>
      <c r="I4" s="9" t="s">
        <v>442</v>
      </c>
      <c r="J4" s="10" t="n"/>
      <c r="K4" s="9" t="s">
        <v>443</v>
      </c>
      <c r="L4" s="10" t="n"/>
      <c r="M4" s="9" t="s">
        <v>444</v>
      </c>
      <c r="N4" s="10" t="n"/>
      <c r="O4" s="9" t="s">
        <v>447</v>
      </c>
      <c r="P4" s="10" t="n"/>
      <c r="Q4" s="9" t="s">
        <v>448</v>
      </c>
      <c r="R4" s="10" t="n"/>
      <c r="S4" s="9" t="s">
        <v>337</v>
      </c>
      <c r="T4" s="10" t="n"/>
      <c r="U4" s="9" t="s">
        <v>338</v>
      </c>
      <c r="V4" s="10" t="n"/>
      <c r="W4" s="9" t="s">
        <v>339</v>
      </c>
      <c r="X4" s="10" t="n"/>
      <c r="Y4" s="9" t="s">
        <v>340</v>
      </c>
      <c r="Z4" s="10" t="n"/>
      <c r="AA4" s="9" t="s">
        <v>341</v>
      </c>
      <c r="AB4" s="10" t="n"/>
    </row>
    <row r="5" spans="1:2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c r="AA5" s="12" t="s">
        <v>345</v>
      </c>
      <c r="AB5" s="11" t="s">
        <v>346</v>
      </c>
    </row>
    <row r="6" spans="1:28">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348</v>
      </c>
      <c r="B7" s="17" t="n">
        <v>7367</v>
      </c>
      <c r="C7" s="18">
        <f>(6452.0/B7*100)</f>
        <v/>
      </c>
      <c r="D7" s="19" t="n">
        <v>915</v>
      </c>
      <c r="E7" s="18" t="n">
        <v>56.76227056</v>
      </c>
      <c r="F7" s="20" t="n">
        <v>2.34234292</v>
      </c>
      <c r="G7" s="18" t="n">
        <v>1.70234341</v>
      </c>
      <c r="H7" s="20" t="n">
        <v>0.5166366</v>
      </c>
      <c r="I7" s="18" t="n">
        <v>4.61053989</v>
      </c>
      <c r="J7" s="20" t="n">
        <v>0.87743924</v>
      </c>
      <c r="K7" s="18" t="n">
        <v>0.90635042</v>
      </c>
      <c r="L7" s="20" t="n">
        <v>0.37415403</v>
      </c>
      <c r="M7" s="18" t="n">
        <v>0.27510727</v>
      </c>
      <c r="N7" s="20" t="n">
        <v>0.19129535</v>
      </c>
      <c r="O7" s="18" t="n">
        <v>11.77762649</v>
      </c>
      <c r="P7" s="20" t="n">
        <v>1.50822933</v>
      </c>
      <c r="Q7" s="18" t="n">
        <v>5.62592248</v>
      </c>
      <c r="R7" s="20" t="n">
        <v>0.92741677</v>
      </c>
      <c r="S7" s="18" t="s">
        <v>349</v>
      </c>
      <c r="T7" s="20" t="s">
        <v>349</v>
      </c>
      <c r="U7" s="18" t="n">
        <v>1.35227115</v>
      </c>
      <c r="V7" s="20" t="n">
        <v>0.43719009</v>
      </c>
      <c r="W7" s="18" t="n">
        <v>0.02826582</v>
      </c>
      <c r="X7" s="20" t="n">
        <v>0.02026164</v>
      </c>
      <c r="Y7" s="18" t="n">
        <v>0</v>
      </c>
      <c r="Z7" s="20" t="n">
        <v>0</v>
      </c>
      <c r="AA7" s="18" t="n">
        <v>16.95930251</v>
      </c>
      <c r="AB7" s="20" t="n">
        <v>1.45422787</v>
      </c>
    </row>
    <row r="8" spans="1:28">
      <c r="A8" s="15" t="s">
        <v>350</v>
      </c>
      <c r="B8" s="17" t="n">
        <v>3564</v>
      </c>
      <c r="C8" s="18">
        <f>(3135.0/B8*100)</f>
        <v/>
      </c>
      <c r="D8" s="19" t="n">
        <v>429</v>
      </c>
      <c r="E8" s="18" t="n">
        <v>41.83403829</v>
      </c>
      <c r="F8" s="20" t="n">
        <v>2.38433552</v>
      </c>
      <c r="G8" s="18" t="n">
        <v>2.42607211</v>
      </c>
      <c r="H8" s="20" t="n">
        <v>0.77763518</v>
      </c>
      <c r="I8" s="18" t="n">
        <v>8.754222110000001</v>
      </c>
      <c r="J8" s="20" t="n">
        <v>1.59838258</v>
      </c>
      <c r="K8" s="18" t="n">
        <v>0.82087104</v>
      </c>
      <c r="L8" s="20" t="n">
        <v>0.48589468</v>
      </c>
      <c r="M8" s="18" t="n">
        <v>0</v>
      </c>
      <c r="N8" s="20" t="n">
        <v>0</v>
      </c>
      <c r="O8" s="18" t="n">
        <v>10.51629083</v>
      </c>
      <c r="P8" s="20" t="n">
        <v>1.8184946</v>
      </c>
      <c r="Q8" s="18" t="n">
        <v>5.34966465</v>
      </c>
      <c r="R8" s="20" t="n">
        <v>1.21133406</v>
      </c>
      <c r="S8" s="18" t="s">
        <v>349</v>
      </c>
      <c r="T8" s="20" t="s">
        <v>349</v>
      </c>
      <c r="U8" s="18" t="n">
        <v>0</v>
      </c>
      <c r="V8" s="20" t="n">
        <v>0</v>
      </c>
      <c r="W8" s="18" t="n">
        <v>0</v>
      </c>
      <c r="X8" s="20" t="n">
        <v>0</v>
      </c>
      <c r="Y8" s="18" t="n">
        <v>0</v>
      </c>
      <c r="Z8" s="20" t="n">
        <v>0</v>
      </c>
      <c r="AA8" s="18" t="n">
        <v>30.29884097</v>
      </c>
      <c r="AB8" s="20" t="n">
        <v>2.26811931</v>
      </c>
    </row>
    <row r="9" spans="1:28">
      <c r="A9" s="15" t="s">
        <v>351</v>
      </c>
      <c r="B9" s="17" t="n">
        <v>4899</v>
      </c>
      <c r="C9" s="18">
        <f>(4332.0/B9*100)</f>
        <v/>
      </c>
      <c r="D9" s="19" t="n">
        <v>567</v>
      </c>
      <c r="E9" s="18" t="n">
        <v>40.45535107</v>
      </c>
      <c r="F9" s="20" t="n">
        <v>2.31897655</v>
      </c>
      <c r="G9" s="18" t="n">
        <v>1.11534116</v>
      </c>
      <c r="H9" s="20" t="n">
        <v>0.48129587</v>
      </c>
      <c r="I9" s="18" t="n">
        <v>12.24174815</v>
      </c>
      <c r="J9" s="20" t="n">
        <v>1.34891298</v>
      </c>
      <c r="K9" s="18" t="n">
        <v>2.95737236</v>
      </c>
      <c r="L9" s="20" t="n">
        <v>0.71128379</v>
      </c>
      <c r="M9" s="18" t="n">
        <v>0</v>
      </c>
      <c r="N9" s="20" t="n">
        <v>0</v>
      </c>
      <c r="O9" s="18" t="n">
        <v>10.34396314</v>
      </c>
      <c r="P9" s="20" t="n">
        <v>1.06587542</v>
      </c>
      <c r="Q9" s="18" t="n">
        <v>2.28067934</v>
      </c>
      <c r="R9" s="20" t="n">
        <v>0.52628929</v>
      </c>
      <c r="S9" s="18" t="s">
        <v>349</v>
      </c>
      <c r="T9" s="20" t="s">
        <v>349</v>
      </c>
      <c r="U9" s="18" t="n">
        <v>0.14715728</v>
      </c>
      <c r="V9" s="20" t="n">
        <v>0.15151924</v>
      </c>
      <c r="W9" s="18" t="n">
        <v>0.5790431700000001</v>
      </c>
      <c r="X9" s="20" t="n">
        <v>0.29524129</v>
      </c>
      <c r="Y9" s="18" t="n">
        <v>0</v>
      </c>
      <c r="Z9" s="20" t="n">
        <v>0</v>
      </c>
      <c r="AA9" s="18" t="n">
        <v>29.87934433</v>
      </c>
      <c r="AB9" s="20" t="n">
        <v>2.36982642</v>
      </c>
    </row>
    <row r="10" spans="1:28">
      <c r="A10" s="15" t="s">
        <v>352</v>
      </c>
      <c r="B10" s="17" t="n">
        <v>10036</v>
      </c>
      <c r="C10" s="18">
        <f>(8809.0/B10*100)</f>
        <v/>
      </c>
      <c r="D10" s="19" t="n">
        <v>1227</v>
      </c>
      <c r="E10" s="18" t="n">
        <v>42.01781869</v>
      </c>
      <c r="F10" s="20" t="n">
        <v>1.90693965</v>
      </c>
      <c r="G10" s="18" t="n">
        <v>1.34985182</v>
      </c>
      <c r="H10" s="20" t="n">
        <v>0.39410133</v>
      </c>
      <c r="I10" s="18" t="n">
        <v>16.7382199</v>
      </c>
      <c r="J10" s="20" t="n">
        <v>1.47487644</v>
      </c>
      <c r="K10" s="18" t="n">
        <v>1.59043594</v>
      </c>
      <c r="L10" s="20" t="n">
        <v>0.49153889</v>
      </c>
      <c r="M10" s="18" t="n">
        <v>0</v>
      </c>
      <c r="N10" s="20" t="n">
        <v>0</v>
      </c>
      <c r="O10" s="18" t="n">
        <v>17.42930928</v>
      </c>
      <c r="P10" s="20" t="n">
        <v>1.58450355</v>
      </c>
      <c r="Q10" s="18" t="n">
        <v>5.41107287</v>
      </c>
      <c r="R10" s="20" t="n">
        <v>0.91533891</v>
      </c>
      <c r="S10" s="18" t="s">
        <v>349</v>
      </c>
      <c r="T10" s="20" t="s">
        <v>349</v>
      </c>
      <c r="U10" s="18" t="n">
        <v>0.19128197</v>
      </c>
      <c r="V10" s="20" t="n">
        <v>0.1038419</v>
      </c>
      <c r="W10" s="18" t="n">
        <v>0.45342577</v>
      </c>
      <c r="X10" s="20" t="n">
        <v>0.24590987</v>
      </c>
      <c r="Y10" s="18" t="n">
        <v>0</v>
      </c>
      <c r="Z10" s="20" t="n">
        <v>0</v>
      </c>
      <c r="AA10" s="18" t="n">
        <v>14.81858376</v>
      </c>
      <c r="AB10" s="20" t="n">
        <v>1.48740095</v>
      </c>
    </row>
    <row r="11" spans="1:28">
      <c r="A11" s="15" t="s">
        <v>353</v>
      </c>
      <c r="B11" s="17" t="n">
        <v>3553</v>
      </c>
      <c r="C11" s="18">
        <f>(3122.0/B11*100)</f>
        <v/>
      </c>
      <c r="D11" s="19" t="n">
        <v>431</v>
      </c>
      <c r="E11" s="18" t="n">
        <v>39.41078954</v>
      </c>
      <c r="F11" s="20" t="n">
        <v>2.66338877</v>
      </c>
      <c r="G11" s="18" t="n">
        <v>0.08023602000000001</v>
      </c>
      <c r="H11" s="20" t="n">
        <v>0.07900636</v>
      </c>
      <c r="I11" s="18" t="n">
        <v>5.28358315</v>
      </c>
      <c r="J11" s="20" t="n">
        <v>1.17407448</v>
      </c>
      <c r="K11" s="18" t="n">
        <v>0.1012355</v>
      </c>
      <c r="L11" s="20" t="n">
        <v>0.0731574</v>
      </c>
      <c r="M11" s="18" t="n">
        <v>0.06994839</v>
      </c>
      <c r="N11" s="20" t="n">
        <v>0.06967949</v>
      </c>
      <c r="O11" s="18" t="n">
        <v>2.38980419</v>
      </c>
      <c r="P11" s="20" t="n">
        <v>0.65410529</v>
      </c>
      <c r="Q11" s="18" t="n">
        <v>4.53456782</v>
      </c>
      <c r="R11" s="20" t="n">
        <v>1.10411457</v>
      </c>
      <c r="S11" s="18" t="s">
        <v>349</v>
      </c>
      <c r="T11" s="20" t="s">
        <v>349</v>
      </c>
      <c r="U11" s="18" t="n">
        <v>0.84856586</v>
      </c>
      <c r="V11" s="20" t="n">
        <v>0.39898216</v>
      </c>
      <c r="W11" s="18" t="n">
        <v>0</v>
      </c>
      <c r="X11" s="20" t="n">
        <v>0</v>
      </c>
      <c r="Y11" s="18" t="n">
        <v>0</v>
      </c>
      <c r="Z11" s="20" t="n">
        <v>0</v>
      </c>
      <c r="AA11" s="18" t="n">
        <v>47.28126952</v>
      </c>
      <c r="AB11" s="20" t="n">
        <v>2.61286369</v>
      </c>
    </row>
    <row r="12" spans="1:28">
      <c r="A12" s="15" t="s">
        <v>354</v>
      </c>
      <c r="B12" s="17" t="n">
        <v>3472</v>
      </c>
      <c r="C12" s="18">
        <f>(3071.0/B12*100)</f>
        <v/>
      </c>
      <c r="D12" s="19" t="n">
        <v>401</v>
      </c>
      <c r="E12" s="18" t="n">
        <v>47.65096235</v>
      </c>
      <c r="F12" s="20" t="n">
        <v>3.17735781</v>
      </c>
      <c r="G12" s="18" t="n">
        <v>1.76820057</v>
      </c>
      <c r="H12" s="20" t="n">
        <v>0.81083245</v>
      </c>
      <c r="I12" s="18" t="n">
        <v>5.78126722</v>
      </c>
      <c r="J12" s="20" t="n">
        <v>1.42058689</v>
      </c>
      <c r="K12" s="18" t="n">
        <v>1.2848605</v>
      </c>
      <c r="L12" s="20" t="n">
        <v>0.56856724</v>
      </c>
      <c r="M12" s="18" t="n">
        <v>0</v>
      </c>
      <c r="N12" s="20" t="n">
        <v>0</v>
      </c>
      <c r="O12" s="18" t="n">
        <v>11.73580493</v>
      </c>
      <c r="P12" s="20" t="n">
        <v>1.73632209</v>
      </c>
      <c r="Q12" s="18" t="n">
        <v>6.73402413</v>
      </c>
      <c r="R12" s="20" t="n">
        <v>1.31153732</v>
      </c>
      <c r="S12" s="18" t="s">
        <v>349</v>
      </c>
      <c r="T12" s="20" t="s">
        <v>349</v>
      </c>
      <c r="U12" s="18" t="n">
        <v>0</v>
      </c>
      <c r="V12" s="20" t="n">
        <v>0</v>
      </c>
      <c r="W12" s="18" t="n">
        <v>0.64652595</v>
      </c>
      <c r="X12" s="20" t="n">
        <v>0.52974428</v>
      </c>
      <c r="Y12" s="18" t="n">
        <v>0</v>
      </c>
      <c r="Z12" s="20" t="n">
        <v>0</v>
      </c>
      <c r="AA12" s="18" t="n">
        <v>24.39835435</v>
      </c>
      <c r="AB12" s="20" t="n">
        <v>2.63681883</v>
      </c>
    </row>
    <row r="13" spans="1:28">
      <c r="A13" s="15" t="s">
        <v>355</v>
      </c>
      <c r="B13" s="17" t="n">
        <v>3559</v>
      </c>
      <c r="C13" s="18">
        <f>(3137.0/B13*100)</f>
        <v/>
      </c>
      <c r="D13" s="19" t="n">
        <v>422</v>
      </c>
      <c r="E13" s="18" t="n">
        <v>51.50180898</v>
      </c>
      <c r="F13" s="20" t="n">
        <v>2.62209172</v>
      </c>
      <c r="G13" s="18" t="n">
        <v>1.19053312</v>
      </c>
      <c r="H13" s="20" t="n">
        <v>0.59648595</v>
      </c>
      <c r="I13" s="18" t="n">
        <v>5.82084682</v>
      </c>
      <c r="J13" s="20" t="n">
        <v>0.9735020599999999</v>
      </c>
      <c r="K13" s="18" t="n">
        <v>3.50276994</v>
      </c>
      <c r="L13" s="20" t="n">
        <v>1.04513315</v>
      </c>
      <c r="M13" s="18" t="n">
        <v>0</v>
      </c>
      <c r="N13" s="20" t="n">
        <v>0</v>
      </c>
      <c r="O13" s="18" t="n">
        <v>12.18336858</v>
      </c>
      <c r="P13" s="20" t="n">
        <v>1.72786909</v>
      </c>
      <c r="Q13" s="18" t="n">
        <v>4.96535906</v>
      </c>
      <c r="R13" s="20" t="n">
        <v>1.39787873</v>
      </c>
      <c r="S13" s="18" t="s">
        <v>349</v>
      </c>
      <c r="T13" s="20" t="s">
        <v>349</v>
      </c>
      <c r="U13" s="18" t="n">
        <v>0.48976182</v>
      </c>
      <c r="V13" s="20" t="n">
        <v>0.33998382</v>
      </c>
      <c r="W13" s="18" t="n">
        <v>0.41639794</v>
      </c>
      <c r="X13" s="20" t="n">
        <v>0.42470925</v>
      </c>
      <c r="Y13" s="18" t="n">
        <v>0</v>
      </c>
      <c r="Z13" s="20" t="n">
        <v>0</v>
      </c>
      <c r="AA13" s="18" t="n">
        <v>19.92915375</v>
      </c>
      <c r="AB13" s="20" t="n">
        <v>2.16567803</v>
      </c>
    </row>
    <row r="14" spans="1:28">
      <c r="A14" s="15" t="s">
        <v>356</v>
      </c>
      <c r="B14" s="17" t="n">
        <v>2799</v>
      </c>
      <c r="C14" s="18">
        <f>(2455.0/B14*100)</f>
        <v/>
      </c>
      <c r="D14" s="19" t="n">
        <v>344</v>
      </c>
      <c r="E14" s="18" t="n">
        <v>44.37625421</v>
      </c>
      <c r="F14" s="20" t="n">
        <v>3.18714105</v>
      </c>
      <c r="G14" s="18" t="n">
        <v>2.09276168</v>
      </c>
      <c r="H14" s="20" t="n">
        <v>1.21726094</v>
      </c>
      <c r="I14" s="18" t="n">
        <v>6.25315143</v>
      </c>
      <c r="J14" s="20" t="n">
        <v>1.29429037</v>
      </c>
      <c r="K14" s="18" t="n">
        <v>3.06199597</v>
      </c>
      <c r="L14" s="20" t="n">
        <v>0.95406021</v>
      </c>
      <c r="M14" s="18" t="n">
        <v>1.07207115</v>
      </c>
      <c r="N14" s="20" t="n">
        <v>0.47874138</v>
      </c>
      <c r="O14" s="18" t="n">
        <v>14.56936172</v>
      </c>
      <c r="P14" s="20" t="n">
        <v>2.2038903</v>
      </c>
      <c r="Q14" s="18" t="n">
        <v>3.82444611</v>
      </c>
      <c r="R14" s="20" t="n">
        <v>0.96183367</v>
      </c>
      <c r="S14" s="18" t="s">
        <v>349</v>
      </c>
      <c r="T14" s="20" t="s">
        <v>349</v>
      </c>
      <c r="U14" s="18" t="n">
        <v>0</v>
      </c>
      <c r="V14" s="20" t="n">
        <v>0</v>
      </c>
      <c r="W14" s="18" t="n">
        <v>0.21913525</v>
      </c>
      <c r="X14" s="20" t="n">
        <v>0.22193021</v>
      </c>
      <c r="Y14" s="18" t="n">
        <v>0</v>
      </c>
      <c r="Z14" s="20" t="n">
        <v>0</v>
      </c>
      <c r="AA14" s="18" t="n">
        <v>24.53082247</v>
      </c>
      <c r="AB14" s="20" t="n">
        <v>2.62087073</v>
      </c>
    </row>
    <row r="15" spans="1:28">
      <c r="A15" s="15" t="s">
        <v>357</v>
      </c>
      <c r="B15" s="17" t="n">
        <v>3019</v>
      </c>
      <c r="C15" s="18">
        <f>(2665.0/B15*100)</f>
        <v/>
      </c>
      <c r="D15" s="19" t="n">
        <v>354</v>
      </c>
      <c r="E15" s="18" t="n">
        <v>41.23364713</v>
      </c>
      <c r="F15" s="20" t="n">
        <v>2.54676867</v>
      </c>
      <c r="G15" s="18" t="n">
        <v>1.52491642</v>
      </c>
      <c r="H15" s="20" t="n">
        <v>0.60533398</v>
      </c>
      <c r="I15" s="18" t="n">
        <v>17.30206742</v>
      </c>
      <c r="J15" s="20" t="n">
        <v>2.04481495</v>
      </c>
      <c r="K15" s="18" t="n">
        <v>2.36345132</v>
      </c>
      <c r="L15" s="20" t="n">
        <v>0.90831778</v>
      </c>
      <c r="M15" s="18" t="n">
        <v>0</v>
      </c>
      <c r="N15" s="20" t="n">
        <v>0</v>
      </c>
      <c r="O15" s="18" t="n">
        <v>10.21968011</v>
      </c>
      <c r="P15" s="20" t="n">
        <v>1.47778924</v>
      </c>
      <c r="Q15" s="18" t="n">
        <v>3.89979963</v>
      </c>
      <c r="R15" s="20" t="n">
        <v>1.04820659</v>
      </c>
      <c r="S15" s="18" t="s">
        <v>349</v>
      </c>
      <c r="T15" s="20" t="s">
        <v>349</v>
      </c>
      <c r="U15" s="18" t="n">
        <v>0</v>
      </c>
      <c r="V15" s="20" t="n">
        <v>0</v>
      </c>
      <c r="W15" s="18" t="n">
        <v>0</v>
      </c>
      <c r="X15" s="20" t="n">
        <v>0</v>
      </c>
      <c r="Y15" s="18" t="n">
        <v>0</v>
      </c>
      <c r="Z15" s="20" t="n">
        <v>0</v>
      </c>
      <c r="AA15" s="18" t="n">
        <v>23.45643798</v>
      </c>
      <c r="AB15" s="20" t="n">
        <v>2.2987967</v>
      </c>
    </row>
    <row r="16" spans="1:28">
      <c r="A16" s="15" t="s">
        <v>358</v>
      </c>
      <c r="B16" s="17" t="n">
        <v>2997</v>
      </c>
      <c r="C16" s="18">
        <f>(2613.0/B16*100)</f>
        <v/>
      </c>
      <c r="D16" s="19" t="n">
        <v>384</v>
      </c>
      <c r="E16" s="18" t="n">
        <v>36.72261145</v>
      </c>
      <c r="F16" s="20" t="n">
        <v>2.31809051</v>
      </c>
      <c r="G16" s="18" t="n">
        <v>1.83010862</v>
      </c>
      <c r="H16" s="20" t="n">
        <v>0.70964178</v>
      </c>
      <c r="I16" s="18" t="n">
        <v>6.9729427</v>
      </c>
      <c r="J16" s="20" t="n">
        <v>1.05374404</v>
      </c>
      <c r="K16" s="18" t="n">
        <v>0</v>
      </c>
      <c r="L16" s="20" t="n">
        <v>0</v>
      </c>
      <c r="M16" s="18" t="n">
        <v>0</v>
      </c>
      <c r="N16" s="20" t="n">
        <v>0</v>
      </c>
      <c r="O16" s="18" t="n">
        <v>10.61941816</v>
      </c>
      <c r="P16" s="20" t="n">
        <v>1.46665221</v>
      </c>
      <c r="Q16" s="18" t="n">
        <v>1.94472447</v>
      </c>
      <c r="R16" s="20" t="n">
        <v>0.637989</v>
      </c>
      <c r="S16" s="18" t="s">
        <v>349</v>
      </c>
      <c r="T16" s="20" t="s">
        <v>349</v>
      </c>
      <c r="U16" s="18" t="n">
        <v>0.72670446</v>
      </c>
      <c r="V16" s="20" t="n">
        <v>0.44836888</v>
      </c>
      <c r="W16" s="18" t="n">
        <v>0</v>
      </c>
      <c r="X16" s="20" t="n">
        <v>0</v>
      </c>
      <c r="Y16" s="18" t="n">
        <v>0</v>
      </c>
      <c r="Z16" s="20" t="n">
        <v>0</v>
      </c>
      <c r="AA16" s="18" t="n">
        <v>41.18349014</v>
      </c>
      <c r="AB16" s="20" t="n">
        <v>2.6177906</v>
      </c>
    </row>
    <row r="17" spans="1:28">
      <c r="A17" s="15" t="s">
        <v>359</v>
      </c>
      <c r="B17" s="17" t="n">
        <v>3307</v>
      </c>
      <c r="C17" s="18">
        <f>(2910.0/B17*100)</f>
        <v/>
      </c>
      <c r="D17" s="19" t="n">
        <v>397</v>
      </c>
      <c r="E17" s="18" t="n">
        <v>41.41792128</v>
      </c>
      <c r="F17" s="20" t="n">
        <v>2.11058634</v>
      </c>
      <c r="G17" s="18" t="n">
        <v>2.48628147</v>
      </c>
      <c r="H17" s="20" t="n">
        <v>0.83030258</v>
      </c>
      <c r="I17" s="18" t="n">
        <v>10.49456824</v>
      </c>
      <c r="J17" s="20" t="n">
        <v>1.43427515</v>
      </c>
      <c r="K17" s="18" t="n">
        <v>2.36200393</v>
      </c>
      <c r="L17" s="20" t="n">
        <v>1.02704162</v>
      </c>
      <c r="M17" s="18" t="n">
        <v>0</v>
      </c>
      <c r="N17" s="20" t="n">
        <v>0</v>
      </c>
      <c r="O17" s="18" t="n">
        <v>10.80708274</v>
      </c>
      <c r="P17" s="20" t="n">
        <v>1.55900828</v>
      </c>
      <c r="Q17" s="18" t="n">
        <v>2.55663873</v>
      </c>
      <c r="R17" s="20" t="n">
        <v>0.69864781</v>
      </c>
      <c r="S17" s="18" t="s">
        <v>349</v>
      </c>
      <c r="T17" s="20" t="s">
        <v>349</v>
      </c>
      <c r="U17" s="18" t="n">
        <v>0.92881283</v>
      </c>
      <c r="V17" s="20" t="n">
        <v>0.32919542</v>
      </c>
      <c r="W17" s="18" t="n">
        <v>0</v>
      </c>
      <c r="X17" s="20" t="n">
        <v>0</v>
      </c>
      <c r="Y17" s="18" t="n">
        <v>0</v>
      </c>
      <c r="Z17" s="20" t="n">
        <v>0</v>
      </c>
      <c r="AA17" s="18" t="n">
        <v>28.94669077</v>
      </c>
      <c r="AB17" s="20" t="n">
        <v>2.34283363</v>
      </c>
    </row>
    <row r="18" spans="1:28">
      <c r="A18" s="15" t="s">
        <v>360</v>
      </c>
      <c r="B18" s="17" t="n">
        <v>2826</v>
      </c>
      <c r="C18" s="18">
        <f>(2479.0/B18*100)</f>
        <v/>
      </c>
      <c r="D18" s="19" t="n">
        <v>347</v>
      </c>
      <c r="E18" s="18" t="n">
        <v>54.17070081</v>
      </c>
      <c r="F18" s="20" t="n">
        <v>3.37849744</v>
      </c>
      <c r="G18" s="18" t="n">
        <v>2.76288374</v>
      </c>
      <c r="H18" s="20" t="n">
        <v>0.94417523</v>
      </c>
      <c r="I18" s="18" t="n">
        <v>2.30163956</v>
      </c>
      <c r="J18" s="20" t="n">
        <v>0.76778107</v>
      </c>
      <c r="K18" s="18" t="n">
        <v>2.40551138</v>
      </c>
      <c r="L18" s="20" t="n">
        <v>0.79231801</v>
      </c>
      <c r="M18" s="18" t="n">
        <v>0</v>
      </c>
      <c r="N18" s="20" t="n">
        <v>0</v>
      </c>
      <c r="O18" s="18" t="n">
        <v>5.09238927</v>
      </c>
      <c r="P18" s="20" t="n">
        <v>1.05377768</v>
      </c>
      <c r="Q18" s="18" t="n">
        <v>2.38121365</v>
      </c>
      <c r="R18" s="20" t="n">
        <v>0.98401584</v>
      </c>
      <c r="S18" s="18" t="s">
        <v>349</v>
      </c>
      <c r="T18" s="20" t="s">
        <v>349</v>
      </c>
      <c r="U18" s="18" t="n">
        <v>0.29507905</v>
      </c>
      <c r="V18" s="20" t="n">
        <v>0.29654466</v>
      </c>
      <c r="W18" s="18" t="n">
        <v>0</v>
      </c>
      <c r="X18" s="20" t="n">
        <v>0</v>
      </c>
      <c r="Y18" s="18" t="n">
        <v>0</v>
      </c>
      <c r="Z18" s="20" t="n">
        <v>0</v>
      </c>
      <c r="AA18" s="18" t="n">
        <v>30.59058254</v>
      </c>
      <c r="AB18" s="20" t="n">
        <v>2.99220537</v>
      </c>
    </row>
    <row r="19" spans="1:28">
      <c r="A19" s="15" t="s">
        <v>361</v>
      </c>
      <c r="B19" s="17" t="n">
        <v>2808</v>
      </c>
      <c r="C19" s="18">
        <f>(2474.0/B19*100)</f>
        <v/>
      </c>
      <c r="D19" s="19" t="n">
        <v>334</v>
      </c>
      <c r="E19" s="18" t="n">
        <v>50.23348466</v>
      </c>
      <c r="F19" s="20" t="n">
        <v>3.02481376</v>
      </c>
      <c r="G19" s="18" t="n">
        <v>0.7966502</v>
      </c>
      <c r="H19" s="20" t="n">
        <v>0.47338795</v>
      </c>
      <c r="I19" s="18" t="n">
        <v>3.97089414</v>
      </c>
      <c r="J19" s="20" t="n">
        <v>1.10252436</v>
      </c>
      <c r="K19" s="18" t="n">
        <v>1.5805438</v>
      </c>
      <c r="L19" s="20" t="n">
        <v>0.63246855</v>
      </c>
      <c r="M19" s="18" t="n">
        <v>0</v>
      </c>
      <c r="N19" s="20" t="n">
        <v>0</v>
      </c>
      <c r="O19" s="18" t="n">
        <v>8.77038321</v>
      </c>
      <c r="P19" s="20" t="n">
        <v>1.52121556</v>
      </c>
      <c r="Q19" s="18" t="n">
        <v>5.51212526</v>
      </c>
      <c r="R19" s="20" t="n">
        <v>1.36223249</v>
      </c>
      <c r="S19" s="18" t="s">
        <v>349</v>
      </c>
      <c r="T19" s="20" t="s">
        <v>349</v>
      </c>
      <c r="U19" s="18" t="n">
        <v>0.7012265</v>
      </c>
      <c r="V19" s="20" t="n">
        <v>0.66088301</v>
      </c>
      <c r="W19" s="18" t="n">
        <v>0.5628384</v>
      </c>
      <c r="X19" s="20" t="n">
        <v>0.32899947</v>
      </c>
      <c r="Y19" s="18" t="n">
        <v>0</v>
      </c>
      <c r="Z19" s="20" t="n">
        <v>0</v>
      </c>
      <c r="AA19" s="18" t="n">
        <v>27.87185385</v>
      </c>
      <c r="AB19" s="20" t="n">
        <v>2.12379297</v>
      </c>
    </row>
    <row r="20" spans="1:28">
      <c r="A20" s="15" t="s">
        <v>362</v>
      </c>
      <c r="B20" s="17" t="n">
        <v>1630</v>
      </c>
      <c r="C20" s="18">
        <f>(1423.0/B20*100)</f>
        <v/>
      </c>
      <c r="D20" s="19" t="n">
        <v>207</v>
      </c>
      <c r="E20" s="18" t="n">
        <v>46.08787881</v>
      </c>
      <c r="F20" s="20" t="n">
        <v>3.86254748</v>
      </c>
      <c r="G20" s="18" t="n">
        <v>3.02515539</v>
      </c>
      <c r="H20" s="20" t="n">
        <v>1.1783941</v>
      </c>
      <c r="I20" s="18" t="n">
        <v>17.21260354</v>
      </c>
      <c r="J20" s="20" t="n">
        <v>2.54140766</v>
      </c>
      <c r="K20" s="18" t="n">
        <v>1.81718075</v>
      </c>
      <c r="L20" s="20" t="n">
        <v>0.89535388</v>
      </c>
      <c r="M20" s="18" t="n">
        <v>0</v>
      </c>
      <c r="N20" s="20" t="n">
        <v>0</v>
      </c>
      <c r="O20" s="18" t="n">
        <v>11.55070385</v>
      </c>
      <c r="P20" s="20" t="n">
        <v>2.23006023</v>
      </c>
      <c r="Q20" s="18" t="n">
        <v>4.63744935</v>
      </c>
      <c r="R20" s="20" t="n">
        <v>1.46217025</v>
      </c>
      <c r="S20" s="18" t="s">
        <v>349</v>
      </c>
      <c r="T20" s="20" t="s">
        <v>349</v>
      </c>
      <c r="U20" s="18" t="n">
        <v>0.99217932</v>
      </c>
      <c r="V20" s="20" t="n">
        <v>0.73632769</v>
      </c>
      <c r="W20" s="18" t="n">
        <v>0</v>
      </c>
      <c r="X20" s="20" t="n">
        <v>0</v>
      </c>
      <c r="Y20" s="18" t="n">
        <v>0</v>
      </c>
      <c r="Z20" s="20" t="n">
        <v>0</v>
      </c>
      <c r="AA20" s="18" t="n">
        <v>14.67684898</v>
      </c>
      <c r="AB20" s="20" t="n">
        <v>2.66763216</v>
      </c>
    </row>
    <row r="21" spans="1:28">
      <c r="A21" s="15" t="s">
        <v>363</v>
      </c>
      <c r="B21" s="17" t="n">
        <v>2908</v>
      </c>
      <c r="C21" s="18">
        <f>(2436.0/B21*100)</f>
        <v/>
      </c>
      <c r="D21" s="19" t="n">
        <v>472</v>
      </c>
      <c r="E21" s="18" t="n">
        <v>45.43143667</v>
      </c>
      <c r="F21" s="20" t="n">
        <v>2.44581624</v>
      </c>
      <c r="G21" s="18" t="n">
        <v>2.29399555</v>
      </c>
      <c r="H21" s="20" t="n">
        <v>0.75034493</v>
      </c>
      <c r="I21" s="18" t="n">
        <v>6.19199115</v>
      </c>
      <c r="J21" s="20" t="n">
        <v>1.04080605</v>
      </c>
      <c r="K21" s="18" t="n">
        <v>7.37778924</v>
      </c>
      <c r="L21" s="20" t="n">
        <v>1.09880391</v>
      </c>
      <c r="M21" s="18" t="n">
        <v>0</v>
      </c>
      <c r="N21" s="20" t="n">
        <v>0</v>
      </c>
      <c r="O21" s="18" t="n">
        <v>15.34303268</v>
      </c>
      <c r="P21" s="20" t="n">
        <v>1.68854645</v>
      </c>
      <c r="Q21" s="18" t="n">
        <v>3.33280888</v>
      </c>
      <c r="R21" s="20" t="n">
        <v>0.9424212</v>
      </c>
      <c r="S21" s="18" t="s">
        <v>349</v>
      </c>
      <c r="T21" s="20" t="s">
        <v>349</v>
      </c>
      <c r="U21" s="18" t="n">
        <v>0.16771006</v>
      </c>
      <c r="V21" s="20" t="n">
        <v>0.16855019</v>
      </c>
      <c r="W21" s="18" t="n">
        <v>0</v>
      </c>
      <c r="X21" s="20" t="n">
        <v>0</v>
      </c>
      <c r="Y21" s="18" t="n">
        <v>0</v>
      </c>
      <c r="Z21" s="20" t="n">
        <v>0</v>
      </c>
      <c r="AA21" s="18" t="n">
        <v>19.86123577</v>
      </c>
      <c r="AB21" s="20" t="n">
        <v>1.97772082</v>
      </c>
    </row>
    <row r="22" spans="1:28">
      <c r="A22" s="15" t="s">
        <v>364</v>
      </c>
      <c r="B22" s="17" t="n">
        <v>2931</v>
      </c>
      <c r="C22" s="18">
        <f>(2577.0/B22*100)</f>
        <v/>
      </c>
      <c r="D22" s="19" t="n">
        <v>354</v>
      </c>
      <c r="E22" s="18" t="n">
        <v>47.78305784</v>
      </c>
      <c r="F22" s="20" t="n">
        <v>2.87620921</v>
      </c>
      <c r="G22" s="18" t="n">
        <v>1.53111592</v>
      </c>
      <c r="H22" s="20" t="n">
        <v>0.66970946</v>
      </c>
      <c r="I22" s="18" t="n">
        <v>3.64527941</v>
      </c>
      <c r="J22" s="20" t="n">
        <v>0.84104729</v>
      </c>
      <c r="K22" s="18" t="n">
        <v>2.68438999</v>
      </c>
      <c r="L22" s="20" t="n">
        <v>0.90013803</v>
      </c>
      <c r="M22" s="18" t="n">
        <v>0</v>
      </c>
      <c r="N22" s="20" t="n">
        <v>0</v>
      </c>
      <c r="O22" s="18" t="n">
        <v>7.15745294</v>
      </c>
      <c r="P22" s="20" t="n">
        <v>1.38453942</v>
      </c>
      <c r="Q22" s="18" t="n">
        <v>5.27593042</v>
      </c>
      <c r="R22" s="20" t="n">
        <v>1.39547724</v>
      </c>
      <c r="S22" s="18" t="s">
        <v>349</v>
      </c>
      <c r="T22" s="20" t="s">
        <v>349</v>
      </c>
      <c r="U22" s="18" t="n">
        <v>0.22449998</v>
      </c>
      <c r="V22" s="20" t="n">
        <v>0.22393105</v>
      </c>
      <c r="W22" s="18" t="n">
        <v>0</v>
      </c>
      <c r="X22" s="20" t="n">
        <v>0</v>
      </c>
      <c r="Y22" s="18" t="n">
        <v>0</v>
      </c>
      <c r="Z22" s="20" t="n">
        <v>0</v>
      </c>
      <c r="AA22" s="18" t="n">
        <v>31.69827351</v>
      </c>
      <c r="AB22" s="20" t="n">
        <v>2.73105542</v>
      </c>
    </row>
    <row r="23" spans="1:28">
      <c r="A23" s="15" t="s">
        <v>365</v>
      </c>
      <c r="B23" s="17" t="n">
        <v>5791</v>
      </c>
      <c r="C23" s="18">
        <f>(5100.0/B23*100)</f>
        <v/>
      </c>
      <c r="D23" s="19" t="n">
        <v>691</v>
      </c>
      <c r="E23" s="18" t="n">
        <v>37.70009999</v>
      </c>
      <c r="F23" s="20" t="n">
        <v>2.68995145</v>
      </c>
      <c r="G23" s="18" t="n">
        <v>0.64990288</v>
      </c>
      <c r="H23" s="20" t="n">
        <v>0.29764126</v>
      </c>
      <c r="I23" s="18" t="n">
        <v>8.757409709999999</v>
      </c>
      <c r="J23" s="20" t="n">
        <v>1.21041842</v>
      </c>
      <c r="K23" s="18" t="n">
        <v>1.34694286</v>
      </c>
      <c r="L23" s="20" t="n">
        <v>0.74285059</v>
      </c>
      <c r="M23" s="18" t="n">
        <v>0.1136505</v>
      </c>
      <c r="N23" s="20" t="n">
        <v>0.15490992</v>
      </c>
      <c r="O23" s="18" t="n">
        <v>9.61900668</v>
      </c>
      <c r="P23" s="20" t="n">
        <v>1.63394573</v>
      </c>
      <c r="Q23" s="18" t="n">
        <v>3.45018991</v>
      </c>
      <c r="R23" s="20" t="n">
        <v>0.8216256199999999</v>
      </c>
      <c r="S23" s="18" t="s">
        <v>349</v>
      </c>
      <c r="T23" s="20" t="s">
        <v>349</v>
      </c>
      <c r="U23" s="18" t="n">
        <v>0</v>
      </c>
      <c r="V23" s="20" t="n">
        <v>0</v>
      </c>
      <c r="W23" s="18" t="n">
        <v>0</v>
      </c>
      <c r="X23" s="20" t="n">
        <v>0</v>
      </c>
      <c r="Y23" s="18" t="n">
        <v>0</v>
      </c>
      <c r="Z23" s="20" t="n">
        <v>0</v>
      </c>
      <c r="AA23" s="18" t="n">
        <v>38.36279748</v>
      </c>
      <c r="AB23" s="20" t="n">
        <v>2.44612894</v>
      </c>
    </row>
    <row r="24" spans="1:28">
      <c r="A24" s="15" t="s">
        <v>366</v>
      </c>
      <c r="B24" s="17" t="n">
        <v>3338</v>
      </c>
      <c r="C24" s="18">
        <f>(2933.0/B24*100)</f>
        <v/>
      </c>
      <c r="D24" s="19" t="n">
        <v>405</v>
      </c>
      <c r="E24" s="18" t="n">
        <v>31.2913537</v>
      </c>
      <c r="F24" s="20" t="n">
        <v>2.35746787</v>
      </c>
      <c r="G24" s="18" t="n">
        <v>3.65842613</v>
      </c>
      <c r="H24" s="20" t="n">
        <v>1.09587885</v>
      </c>
      <c r="I24" s="18" t="n">
        <v>7.64614144</v>
      </c>
      <c r="J24" s="20" t="n">
        <v>1.2689864</v>
      </c>
      <c r="K24" s="18" t="n">
        <v>2.16962001</v>
      </c>
      <c r="L24" s="20" t="n">
        <v>0.7231854599999999</v>
      </c>
      <c r="M24" s="18" t="n">
        <v>0</v>
      </c>
      <c r="N24" s="20" t="n">
        <v>0</v>
      </c>
      <c r="O24" s="18" t="n">
        <v>14.89893798</v>
      </c>
      <c r="P24" s="20" t="n">
        <v>1.85667904</v>
      </c>
      <c r="Q24" s="18" t="n">
        <v>8.55013211</v>
      </c>
      <c r="R24" s="20" t="n">
        <v>1.53203587</v>
      </c>
      <c r="S24" s="18" t="s">
        <v>349</v>
      </c>
      <c r="T24" s="20" t="s">
        <v>349</v>
      </c>
      <c r="U24" s="18" t="n">
        <v>0.25757992</v>
      </c>
      <c r="V24" s="20" t="n">
        <v>0.24825869</v>
      </c>
      <c r="W24" s="18" t="n">
        <v>0</v>
      </c>
      <c r="X24" s="20" t="n">
        <v>0</v>
      </c>
      <c r="Y24" s="18" t="n">
        <v>0</v>
      </c>
      <c r="Z24" s="20" t="n">
        <v>0</v>
      </c>
      <c r="AA24" s="18" t="n">
        <v>31.52780871</v>
      </c>
      <c r="AB24" s="20" t="n">
        <v>2.39238711</v>
      </c>
    </row>
    <row r="25" spans="1:28">
      <c r="A25" s="15" t="s">
        <v>367</v>
      </c>
      <c r="B25" s="17" t="n">
        <v>2912</v>
      </c>
      <c r="C25" s="18">
        <f>(2547.0/B25*100)</f>
        <v/>
      </c>
      <c r="D25" s="19" t="n">
        <v>365</v>
      </c>
      <c r="E25" s="18" t="n">
        <v>37.53915658</v>
      </c>
      <c r="F25" s="20" t="n">
        <v>2.80114682</v>
      </c>
      <c r="G25" s="18" t="n">
        <v>2.1390613</v>
      </c>
      <c r="H25" s="20" t="n">
        <v>0.8309923299999999</v>
      </c>
      <c r="I25" s="18" t="n">
        <v>18.5679283</v>
      </c>
      <c r="J25" s="20" t="n">
        <v>2.18356303</v>
      </c>
      <c r="K25" s="18" t="n">
        <v>6.87785059</v>
      </c>
      <c r="L25" s="20" t="n">
        <v>1.42827733</v>
      </c>
      <c r="M25" s="18" t="n">
        <v>0</v>
      </c>
      <c r="N25" s="20" t="n">
        <v>0</v>
      </c>
      <c r="O25" s="18" t="n">
        <v>12.29464422</v>
      </c>
      <c r="P25" s="20" t="n">
        <v>1.93186921</v>
      </c>
      <c r="Q25" s="18" t="n">
        <v>10.85095272</v>
      </c>
      <c r="R25" s="20" t="n">
        <v>1.79974382</v>
      </c>
      <c r="S25" s="18" t="s">
        <v>349</v>
      </c>
      <c r="T25" s="20" t="s">
        <v>349</v>
      </c>
      <c r="U25" s="18" t="n">
        <v>0.54099728</v>
      </c>
      <c r="V25" s="20" t="n">
        <v>0.38452429</v>
      </c>
      <c r="W25" s="18" t="n">
        <v>0</v>
      </c>
      <c r="X25" s="20" t="n">
        <v>0</v>
      </c>
      <c r="Y25" s="18" t="n">
        <v>0</v>
      </c>
      <c r="Z25" s="20" t="n">
        <v>0</v>
      </c>
      <c r="AA25" s="18" t="n">
        <v>11.18940902</v>
      </c>
      <c r="AB25" s="20" t="n">
        <v>1.9496829</v>
      </c>
    </row>
    <row r="26" spans="1:28">
      <c r="A26" s="15" t="s">
        <v>368</v>
      </c>
      <c r="B26" s="17" t="n">
        <v>2450</v>
      </c>
      <c r="C26" s="18">
        <f>(2162.0/B26*100)</f>
        <v/>
      </c>
      <c r="D26" s="19" t="n">
        <v>288</v>
      </c>
      <c r="E26" s="18" t="n">
        <v>61.66289666</v>
      </c>
      <c r="F26" s="20" t="n">
        <v>3.22925506</v>
      </c>
      <c r="G26" s="18" t="n">
        <v>1.2316539</v>
      </c>
      <c r="H26" s="20" t="n">
        <v>0.49262394</v>
      </c>
      <c r="I26" s="18" t="n">
        <v>0.67025627</v>
      </c>
      <c r="J26" s="20" t="n">
        <v>0.6729010600000001</v>
      </c>
      <c r="K26" s="18" t="n">
        <v>1.28231158</v>
      </c>
      <c r="L26" s="20" t="n">
        <v>0.77099695</v>
      </c>
      <c r="M26" s="18" t="n">
        <v>0</v>
      </c>
      <c r="N26" s="20" t="n">
        <v>0</v>
      </c>
      <c r="O26" s="18" t="n">
        <v>6.43785813</v>
      </c>
      <c r="P26" s="20" t="n">
        <v>1.77448735</v>
      </c>
      <c r="Q26" s="18" t="n">
        <v>3.69202088</v>
      </c>
      <c r="R26" s="20" t="n">
        <v>1.08384176</v>
      </c>
      <c r="S26" s="18" t="s">
        <v>349</v>
      </c>
      <c r="T26" s="20" t="s">
        <v>349</v>
      </c>
      <c r="U26" s="18" t="n">
        <v>0</v>
      </c>
      <c r="V26" s="20" t="n">
        <v>0</v>
      </c>
      <c r="W26" s="18" t="n">
        <v>0</v>
      </c>
      <c r="X26" s="20" t="n">
        <v>0</v>
      </c>
      <c r="Y26" s="18" t="n">
        <v>0</v>
      </c>
      <c r="Z26" s="20" t="n">
        <v>0</v>
      </c>
      <c r="AA26" s="18" t="n">
        <v>25.02300258</v>
      </c>
      <c r="AB26" s="20" t="n">
        <v>2.85290489</v>
      </c>
    </row>
    <row r="27" spans="1:28">
      <c r="A27" s="15" t="s">
        <v>369</v>
      </c>
      <c r="B27" s="17" t="n">
        <v>2616</v>
      </c>
      <c r="C27" s="18">
        <f>(2301.0/B27*100)</f>
        <v/>
      </c>
      <c r="D27" s="19" t="n">
        <v>315</v>
      </c>
      <c r="E27" s="18" t="n">
        <v>44.74050689</v>
      </c>
      <c r="F27" s="20" t="n">
        <v>2.69396126</v>
      </c>
      <c r="G27" s="18" t="n">
        <v>1.5471175</v>
      </c>
      <c r="H27" s="20" t="n">
        <v>0.67989575</v>
      </c>
      <c r="I27" s="18" t="n">
        <v>8.23998404</v>
      </c>
      <c r="J27" s="20" t="n">
        <v>1.70885957</v>
      </c>
      <c r="K27" s="18" t="n">
        <v>0.9282705</v>
      </c>
      <c r="L27" s="20" t="n">
        <v>0.54403466</v>
      </c>
      <c r="M27" s="18" t="n">
        <v>0</v>
      </c>
      <c r="N27" s="20" t="n">
        <v>0</v>
      </c>
      <c r="O27" s="18" t="n">
        <v>8.149798410000001</v>
      </c>
      <c r="P27" s="20" t="n">
        <v>1.53277101</v>
      </c>
      <c r="Q27" s="18" t="n">
        <v>4.42190936</v>
      </c>
      <c r="R27" s="20" t="n">
        <v>1.15610611</v>
      </c>
      <c r="S27" s="18" t="s">
        <v>349</v>
      </c>
      <c r="T27" s="20" t="s">
        <v>349</v>
      </c>
      <c r="U27" s="18" t="n">
        <v>0.6477033800000001</v>
      </c>
      <c r="V27" s="20" t="n">
        <v>0.46052283</v>
      </c>
      <c r="W27" s="18" t="n">
        <v>0</v>
      </c>
      <c r="X27" s="20" t="n">
        <v>0</v>
      </c>
      <c r="Y27" s="18" t="n">
        <v>0</v>
      </c>
      <c r="Z27" s="20" t="n">
        <v>0</v>
      </c>
      <c r="AA27" s="18" t="n">
        <v>31.32470993</v>
      </c>
      <c r="AB27" s="20" t="n">
        <v>2.61512431</v>
      </c>
    </row>
    <row r="28" spans="1:28">
      <c r="A28" s="15" t="s">
        <v>370</v>
      </c>
      <c r="B28" s="17" t="n">
        <v>3765</v>
      </c>
      <c r="C28" s="18">
        <f>(3329.0/B28*100)</f>
        <v/>
      </c>
      <c r="D28" s="19" t="n">
        <v>436</v>
      </c>
      <c r="E28" s="18" t="n">
        <v>67.61318319999999</v>
      </c>
      <c r="F28" s="20" t="n">
        <v>2.81918895</v>
      </c>
      <c r="G28" s="18" t="n">
        <v>0.1463858</v>
      </c>
      <c r="H28" s="20" t="n">
        <v>0.14617202</v>
      </c>
      <c r="I28" s="18" t="n">
        <v>1.36007177</v>
      </c>
      <c r="J28" s="20" t="n">
        <v>0.53466926</v>
      </c>
      <c r="K28" s="18" t="n">
        <v>0</v>
      </c>
      <c r="L28" s="20" t="n">
        <v>0</v>
      </c>
      <c r="M28" s="18" t="n">
        <v>0.61842768</v>
      </c>
      <c r="N28" s="20" t="n">
        <v>0.43924579</v>
      </c>
      <c r="O28" s="18" t="n">
        <v>0.21276734</v>
      </c>
      <c r="P28" s="20" t="n">
        <v>0.21419713</v>
      </c>
      <c r="Q28" s="18" t="n">
        <v>6.2752609</v>
      </c>
      <c r="R28" s="20" t="n">
        <v>1.29599157</v>
      </c>
      <c r="S28" s="18" t="s">
        <v>349</v>
      </c>
      <c r="T28" s="20" t="s">
        <v>349</v>
      </c>
      <c r="U28" s="18" t="n">
        <v>0</v>
      </c>
      <c r="V28" s="20" t="n">
        <v>0</v>
      </c>
      <c r="W28" s="18" t="n">
        <v>1.87539911</v>
      </c>
      <c r="X28" s="20" t="n">
        <v>0.96124277</v>
      </c>
      <c r="Y28" s="18" t="n">
        <v>0</v>
      </c>
      <c r="Z28" s="20" t="n">
        <v>0</v>
      </c>
      <c r="AA28" s="18" t="n">
        <v>21.89850419</v>
      </c>
      <c r="AB28" s="20" t="n">
        <v>2.11096662</v>
      </c>
    </row>
    <row r="29" spans="1:28">
      <c r="A29" s="15" t="s">
        <v>371</v>
      </c>
      <c r="B29" s="17" t="n">
        <v>2685</v>
      </c>
      <c r="C29" s="18">
        <f>(2355.0/B29*100)</f>
        <v/>
      </c>
      <c r="D29" s="19" t="n">
        <v>330</v>
      </c>
      <c r="E29" s="18" t="n">
        <v>54.15727202</v>
      </c>
      <c r="F29" s="20" t="n">
        <v>2.75543943</v>
      </c>
      <c r="G29" s="18" t="n">
        <v>1.15721752</v>
      </c>
      <c r="H29" s="20" t="n">
        <v>0.58908254</v>
      </c>
      <c r="I29" s="18" t="n">
        <v>11.67335468</v>
      </c>
      <c r="J29" s="20" t="n">
        <v>1.76002045</v>
      </c>
      <c r="K29" s="18" t="n">
        <v>1.28691574</v>
      </c>
      <c r="L29" s="20" t="n">
        <v>0.55915162</v>
      </c>
      <c r="M29" s="18" t="n">
        <v>0.38105267</v>
      </c>
      <c r="N29" s="20" t="n">
        <v>0.27224598</v>
      </c>
      <c r="O29" s="18" t="n">
        <v>13.67773901</v>
      </c>
      <c r="P29" s="20" t="n">
        <v>1.64578518</v>
      </c>
      <c r="Q29" s="18" t="n">
        <v>2.52965739</v>
      </c>
      <c r="R29" s="20" t="n">
        <v>0.81893936</v>
      </c>
      <c r="S29" s="18" t="s">
        <v>349</v>
      </c>
      <c r="T29" s="20" t="s">
        <v>349</v>
      </c>
      <c r="U29" s="18" t="n">
        <v>0.74937177</v>
      </c>
      <c r="V29" s="20" t="n">
        <v>0.52047426</v>
      </c>
      <c r="W29" s="18" t="n">
        <v>0.25393013</v>
      </c>
      <c r="X29" s="20" t="n">
        <v>0.25369068</v>
      </c>
      <c r="Y29" s="18" t="n">
        <v>0</v>
      </c>
      <c r="Z29" s="20" t="n">
        <v>0</v>
      </c>
      <c r="AA29" s="18" t="n">
        <v>14.13348906</v>
      </c>
      <c r="AB29" s="20" t="n">
        <v>1.91502129</v>
      </c>
    </row>
    <row r="30" spans="1:28">
      <c r="A30" s="15" t="s">
        <v>372</v>
      </c>
      <c r="B30" s="17" t="n">
        <v>2263</v>
      </c>
      <c r="C30" s="18">
        <f>(1990.0/B30*100)</f>
        <v/>
      </c>
      <c r="D30" s="19" t="n">
        <v>273</v>
      </c>
      <c r="E30" s="18" t="n">
        <v>45.09455165</v>
      </c>
      <c r="F30" s="20" t="n">
        <v>3.34645065</v>
      </c>
      <c r="G30" s="18" t="n">
        <v>1.65855341</v>
      </c>
      <c r="H30" s="20" t="n">
        <v>0.69236036</v>
      </c>
      <c r="I30" s="18" t="n">
        <v>12.57778384</v>
      </c>
      <c r="J30" s="20" t="n">
        <v>2.08901798</v>
      </c>
      <c r="K30" s="18" t="n">
        <v>1.64419258</v>
      </c>
      <c r="L30" s="20" t="n">
        <v>0.85398877</v>
      </c>
      <c r="M30" s="18" t="n">
        <v>0</v>
      </c>
      <c r="N30" s="20" t="n">
        <v>0</v>
      </c>
      <c r="O30" s="18" t="n">
        <v>8.341362760000001</v>
      </c>
      <c r="P30" s="20" t="n">
        <v>1.44674918</v>
      </c>
      <c r="Q30" s="18" t="n">
        <v>5.52038176</v>
      </c>
      <c r="R30" s="20" t="n">
        <v>1.2589586</v>
      </c>
      <c r="S30" s="18" t="s">
        <v>349</v>
      </c>
      <c r="T30" s="20" t="s">
        <v>349</v>
      </c>
      <c r="U30" s="18" t="n">
        <v>0.22652691</v>
      </c>
      <c r="V30" s="20" t="n">
        <v>0.22826275</v>
      </c>
      <c r="W30" s="18" t="n">
        <v>0.85769728</v>
      </c>
      <c r="X30" s="20" t="n">
        <v>0.69194278</v>
      </c>
      <c r="Y30" s="18" t="n">
        <v>0</v>
      </c>
      <c r="Z30" s="20" t="n">
        <v>0</v>
      </c>
      <c r="AA30" s="18" t="n">
        <v>24.07894981</v>
      </c>
      <c r="AB30" s="20" t="n">
        <v>3.10375648</v>
      </c>
    </row>
    <row r="31" spans="1:28">
      <c r="A31" s="15" t="s">
        <v>373</v>
      </c>
      <c r="B31" s="17" t="n">
        <v>2750</v>
      </c>
      <c r="C31" s="18">
        <f>(2392.0/B31*100)</f>
        <v/>
      </c>
      <c r="D31" s="19" t="n">
        <v>358</v>
      </c>
      <c r="E31" s="18" t="n">
        <v>43.70353696</v>
      </c>
      <c r="F31" s="20" t="n">
        <v>2.57857011</v>
      </c>
      <c r="G31" s="18" t="n">
        <v>1.0726468</v>
      </c>
      <c r="H31" s="20" t="n">
        <v>0.5283914</v>
      </c>
      <c r="I31" s="18" t="n">
        <v>11.23681178</v>
      </c>
      <c r="J31" s="20" t="n">
        <v>1.42159701</v>
      </c>
      <c r="K31" s="18" t="n">
        <v>2.14077801</v>
      </c>
      <c r="L31" s="20" t="n">
        <v>0.56839572</v>
      </c>
      <c r="M31" s="18" t="n">
        <v>0.43762102</v>
      </c>
      <c r="N31" s="20" t="n">
        <v>0.38001135</v>
      </c>
      <c r="O31" s="18" t="n">
        <v>4.51370399</v>
      </c>
      <c r="P31" s="20" t="n">
        <v>1.20244895</v>
      </c>
      <c r="Q31" s="18" t="n">
        <v>7.01967336</v>
      </c>
      <c r="R31" s="20" t="n">
        <v>1.24188724</v>
      </c>
      <c r="S31" s="18" t="s">
        <v>349</v>
      </c>
      <c r="T31" s="20" t="s">
        <v>349</v>
      </c>
      <c r="U31" s="18" t="n">
        <v>0.2727602</v>
      </c>
      <c r="V31" s="20" t="n">
        <v>0.25852638</v>
      </c>
      <c r="W31" s="18" t="n">
        <v>0</v>
      </c>
      <c r="X31" s="20" t="n">
        <v>0</v>
      </c>
      <c r="Y31" s="18" t="n">
        <v>0</v>
      </c>
      <c r="Z31" s="20" t="n">
        <v>0</v>
      </c>
      <c r="AA31" s="18" t="n">
        <v>29.60246787</v>
      </c>
      <c r="AB31" s="20" t="n">
        <v>2.34525408</v>
      </c>
    </row>
    <row r="32" spans="1:28">
      <c r="A32" s="15" t="s">
        <v>374</v>
      </c>
      <c r="B32" s="17" t="n">
        <v>2269</v>
      </c>
      <c r="C32" s="18">
        <f>(1901.0/B32*100)</f>
        <v/>
      </c>
      <c r="D32" s="19" t="n">
        <v>368</v>
      </c>
      <c r="E32" s="18" t="n">
        <v>36.8831331</v>
      </c>
      <c r="F32" s="20" t="n">
        <v>2.62016923</v>
      </c>
      <c r="G32" s="18" t="n">
        <v>2.13032859</v>
      </c>
      <c r="H32" s="20" t="n">
        <v>0.72114018</v>
      </c>
      <c r="I32" s="18" t="n">
        <v>18.19299585</v>
      </c>
      <c r="J32" s="20" t="n">
        <v>2.08749672</v>
      </c>
      <c r="K32" s="18" t="n">
        <v>2.64944834</v>
      </c>
      <c r="L32" s="20" t="n">
        <v>0.8321172</v>
      </c>
      <c r="M32" s="18" t="n">
        <v>0</v>
      </c>
      <c r="N32" s="20" t="n">
        <v>0</v>
      </c>
      <c r="O32" s="18" t="n">
        <v>14.10308718</v>
      </c>
      <c r="P32" s="20" t="n">
        <v>1.86072823</v>
      </c>
      <c r="Q32" s="18" t="n">
        <v>4.69662843</v>
      </c>
      <c r="R32" s="20" t="n">
        <v>1.16557048</v>
      </c>
      <c r="S32" s="18" t="s">
        <v>349</v>
      </c>
      <c r="T32" s="20" t="s">
        <v>349</v>
      </c>
      <c r="U32" s="18" t="n">
        <v>0.24321453</v>
      </c>
      <c r="V32" s="20" t="n">
        <v>0.24437532</v>
      </c>
      <c r="W32" s="18" t="n">
        <v>0</v>
      </c>
      <c r="X32" s="20" t="n">
        <v>0</v>
      </c>
      <c r="Y32" s="18" t="n">
        <v>0</v>
      </c>
      <c r="Z32" s="20" t="n">
        <v>0</v>
      </c>
      <c r="AA32" s="18" t="n">
        <v>21.10116398</v>
      </c>
      <c r="AB32" s="20" t="n">
        <v>1.9336917</v>
      </c>
    </row>
    <row r="33" spans="1:28">
      <c r="A33" s="15" t="s">
        <v>375</v>
      </c>
      <c r="B33" s="17" t="n">
        <v>3674</v>
      </c>
      <c r="C33" s="18">
        <f>(3208.0/B33*100)</f>
        <v/>
      </c>
      <c r="D33" s="19" t="n">
        <v>466</v>
      </c>
      <c r="E33" s="18" t="n">
        <v>36.01487354</v>
      </c>
      <c r="F33" s="20" t="n">
        <v>2.61332222</v>
      </c>
      <c r="G33" s="18" t="n">
        <v>2.79611134</v>
      </c>
      <c r="H33" s="20" t="n">
        <v>0.76028608</v>
      </c>
      <c r="I33" s="18" t="n">
        <v>9.2680639</v>
      </c>
      <c r="J33" s="20" t="n">
        <v>1.77275938</v>
      </c>
      <c r="K33" s="18" t="n">
        <v>0.53378422</v>
      </c>
      <c r="L33" s="20" t="n">
        <v>0.45251636</v>
      </c>
      <c r="M33" s="18" t="n">
        <v>0.39094177</v>
      </c>
      <c r="N33" s="20" t="n">
        <v>0.31342332</v>
      </c>
      <c r="O33" s="18" t="n">
        <v>12.75574084</v>
      </c>
      <c r="P33" s="20" t="n">
        <v>1.87293809</v>
      </c>
      <c r="Q33" s="18" t="n">
        <v>3.07829404</v>
      </c>
      <c r="R33" s="20" t="n">
        <v>1.01585794</v>
      </c>
      <c r="S33" s="18" t="s">
        <v>349</v>
      </c>
      <c r="T33" s="20" t="s">
        <v>349</v>
      </c>
      <c r="U33" s="18" t="n">
        <v>0.82655807</v>
      </c>
      <c r="V33" s="20" t="n">
        <v>0.46121717</v>
      </c>
      <c r="W33" s="18" t="n">
        <v>0</v>
      </c>
      <c r="X33" s="20" t="n">
        <v>0</v>
      </c>
      <c r="Y33" s="18" t="n">
        <v>0</v>
      </c>
      <c r="Z33" s="20" t="n">
        <v>0</v>
      </c>
      <c r="AA33" s="18" t="n">
        <v>34.33563228</v>
      </c>
      <c r="AB33" s="20" t="n">
        <v>2.63994204</v>
      </c>
    </row>
    <row r="34" spans="1:28">
      <c r="A34" s="15" t="s">
        <v>376</v>
      </c>
      <c r="B34" s="17" t="n">
        <v>3315</v>
      </c>
      <c r="C34" s="18">
        <f>(2905.0/B34*100)</f>
        <v/>
      </c>
      <c r="D34" s="19" t="n">
        <v>410</v>
      </c>
      <c r="E34" s="18" t="n">
        <v>51.80028619</v>
      </c>
      <c r="F34" s="20" t="n">
        <v>2.6535167</v>
      </c>
      <c r="G34" s="18" t="n">
        <v>0.17611049</v>
      </c>
      <c r="H34" s="20" t="n">
        <v>0.12984269</v>
      </c>
      <c r="I34" s="18" t="n">
        <v>12.96960579</v>
      </c>
      <c r="J34" s="20" t="n">
        <v>1.63742875</v>
      </c>
      <c r="K34" s="18" t="n">
        <v>1.43266274</v>
      </c>
      <c r="L34" s="20" t="n">
        <v>0.5148874</v>
      </c>
      <c r="M34" s="18" t="n">
        <v>0</v>
      </c>
      <c r="N34" s="20" t="n">
        <v>0</v>
      </c>
      <c r="O34" s="18" t="n">
        <v>9.920651250000001</v>
      </c>
      <c r="P34" s="20" t="n">
        <v>1.32927634</v>
      </c>
      <c r="Q34" s="18" t="n">
        <v>8.182044100000001</v>
      </c>
      <c r="R34" s="20" t="n">
        <v>1.17304278</v>
      </c>
      <c r="S34" s="18" t="s">
        <v>349</v>
      </c>
      <c r="T34" s="20" t="s">
        <v>349</v>
      </c>
      <c r="U34" s="18" t="n">
        <v>0.36490324</v>
      </c>
      <c r="V34" s="20" t="n">
        <v>0.3606379</v>
      </c>
      <c r="W34" s="18" t="n">
        <v>0</v>
      </c>
      <c r="X34" s="20" t="n">
        <v>0</v>
      </c>
      <c r="Y34" s="18" t="n">
        <v>0</v>
      </c>
      <c r="Z34" s="20" t="n">
        <v>0</v>
      </c>
      <c r="AA34" s="18" t="n">
        <v>15.1537362</v>
      </c>
      <c r="AB34" s="20" t="n">
        <v>1.91797592</v>
      </c>
    </row>
    <row r="35" spans="1:28">
      <c r="A35" s="15" t="s">
        <v>377</v>
      </c>
      <c r="B35" s="17" t="n">
        <v>3505</v>
      </c>
      <c r="C35" s="18">
        <f>(3092.0/B35*100)</f>
        <v/>
      </c>
      <c r="D35" s="19" t="n">
        <v>413</v>
      </c>
      <c r="E35" s="18" t="n">
        <v>37.22739091</v>
      </c>
      <c r="F35" s="20" t="n">
        <v>2.96172905</v>
      </c>
      <c r="G35" s="18" t="n">
        <v>1.82522523</v>
      </c>
      <c r="H35" s="20" t="n">
        <v>1.03248184</v>
      </c>
      <c r="I35" s="18" t="n">
        <v>18.14859393</v>
      </c>
      <c r="J35" s="20" t="n">
        <v>2.79838309</v>
      </c>
      <c r="K35" s="18" t="n">
        <v>1.92554221</v>
      </c>
      <c r="L35" s="20" t="n">
        <v>1.08274491</v>
      </c>
      <c r="M35" s="18" t="n">
        <v>0</v>
      </c>
      <c r="N35" s="20" t="n">
        <v>0</v>
      </c>
      <c r="O35" s="18" t="n">
        <v>8.821482120000001</v>
      </c>
      <c r="P35" s="20" t="n">
        <v>1.48187704</v>
      </c>
      <c r="Q35" s="18" t="n">
        <v>5.39482127</v>
      </c>
      <c r="R35" s="20" t="n">
        <v>1.06897901</v>
      </c>
      <c r="S35" s="18" t="s">
        <v>349</v>
      </c>
      <c r="T35" s="20" t="s">
        <v>349</v>
      </c>
      <c r="U35" s="18" t="n">
        <v>0</v>
      </c>
      <c r="V35" s="20" t="n">
        <v>0</v>
      </c>
      <c r="W35" s="18" t="n">
        <v>0</v>
      </c>
      <c r="X35" s="20" t="n">
        <v>0</v>
      </c>
      <c r="Y35" s="18" t="n">
        <v>0</v>
      </c>
      <c r="Z35" s="20" t="n">
        <v>0</v>
      </c>
      <c r="AA35" s="18" t="n">
        <v>26.65694434</v>
      </c>
      <c r="AB35" s="20" t="n">
        <v>2.6656265</v>
      </c>
    </row>
    <row r="36" spans="1:28">
      <c r="A36" s="15" t="s">
        <v>378</v>
      </c>
      <c r="B36" s="17" t="n">
        <v>3332</v>
      </c>
      <c r="C36" s="18">
        <f>(2923.0/B36*100)</f>
        <v/>
      </c>
      <c r="D36" s="19" t="n">
        <v>409</v>
      </c>
      <c r="E36" s="18" t="n">
        <v>44.39091269</v>
      </c>
      <c r="F36" s="20" t="n">
        <v>2.40803782</v>
      </c>
      <c r="G36" s="18" t="n">
        <v>1.04327952</v>
      </c>
      <c r="H36" s="20" t="n">
        <v>0.46332332</v>
      </c>
      <c r="I36" s="18" t="n">
        <v>4.4258483</v>
      </c>
      <c r="J36" s="20" t="n">
        <v>1.09439136</v>
      </c>
      <c r="K36" s="18" t="n">
        <v>2.01476962</v>
      </c>
      <c r="L36" s="20" t="n">
        <v>0.64464384</v>
      </c>
      <c r="M36" s="18" t="n">
        <v>1.05753899</v>
      </c>
      <c r="N36" s="20" t="n">
        <v>0.51719286</v>
      </c>
      <c r="O36" s="18" t="n">
        <v>4.44706524</v>
      </c>
      <c r="P36" s="20" t="n">
        <v>0.98449268</v>
      </c>
      <c r="Q36" s="18" t="n">
        <v>3.89630332</v>
      </c>
      <c r="R36" s="20" t="n">
        <v>1.04120882</v>
      </c>
      <c r="S36" s="18" t="s">
        <v>349</v>
      </c>
      <c r="T36" s="20" t="s">
        <v>349</v>
      </c>
      <c r="U36" s="18" t="n">
        <v>0.59005568</v>
      </c>
      <c r="V36" s="20" t="n">
        <v>0.48180385</v>
      </c>
      <c r="W36" s="18" t="n">
        <v>0</v>
      </c>
      <c r="X36" s="20" t="n">
        <v>0</v>
      </c>
      <c r="Y36" s="18" t="n">
        <v>0</v>
      </c>
      <c r="Z36" s="20" t="n">
        <v>0</v>
      </c>
      <c r="AA36" s="18" t="n">
        <v>38.13422664</v>
      </c>
      <c r="AB36" s="20" t="n">
        <v>2.03646546</v>
      </c>
    </row>
    <row r="37" spans="1:28">
      <c r="A37" s="15" t="s">
        <v>379</v>
      </c>
      <c r="B37" s="17" t="n">
        <v>2727</v>
      </c>
      <c r="C37" s="18">
        <f>(2420.0/B37*100)</f>
        <v/>
      </c>
      <c r="D37" s="19" t="n">
        <v>307</v>
      </c>
      <c r="E37" s="18" t="n">
        <v>35.50346627</v>
      </c>
      <c r="F37" s="20" t="n">
        <v>2.44333368</v>
      </c>
      <c r="G37" s="18" t="n">
        <v>1.90862734</v>
      </c>
      <c r="H37" s="20" t="n">
        <v>0.73277524</v>
      </c>
      <c r="I37" s="18" t="n">
        <v>9.837053920000001</v>
      </c>
      <c r="J37" s="20" t="n">
        <v>1.52950713</v>
      </c>
      <c r="K37" s="18" t="n">
        <v>0</v>
      </c>
      <c r="L37" s="20" t="n">
        <v>0</v>
      </c>
      <c r="M37" s="18" t="n">
        <v>0</v>
      </c>
      <c r="N37" s="20" t="n">
        <v>0</v>
      </c>
      <c r="O37" s="18" t="n">
        <v>16.22345694</v>
      </c>
      <c r="P37" s="20" t="n">
        <v>2.4053936</v>
      </c>
      <c r="Q37" s="18" t="n">
        <v>3.47484709</v>
      </c>
      <c r="R37" s="20" t="n">
        <v>0.9910703199999999</v>
      </c>
      <c r="S37" s="18" t="s">
        <v>349</v>
      </c>
      <c r="T37" s="20" t="s">
        <v>349</v>
      </c>
      <c r="U37" s="18" t="n">
        <v>1.32048863</v>
      </c>
      <c r="V37" s="20" t="n">
        <v>0.75095195</v>
      </c>
      <c r="W37" s="18" t="n">
        <v>0.30118373</v>
      </c>
      <c r="X37" s="20" t="n">
        <v>0.31878583</v>
      </c>
      <c r="Y37" s="18" t="n">
        <v>0</v>
      </c>
      <c r="Z37" s="20" t="n">
        <v>0</v>
      </c>
      <c r="AA37" s="18" t="n">
        <v>31.43087609</v>
      </c>
      <c r="AB37" s="20" t="n">
        <v>3.11741932</v>
      </c>
    </row>
    <row r="38" spans="1:28">
      <c r="A38" s="15" t="s">
        <v>380</v>
      </c>
      <c r="B38" s="17" t="n">
        <v>3053</v>
      </c>
      <c r="C38" s="18">
        <f>(2555.0/B38*100)</f>
        <v/>
      </c>
      <c r="D38" s="19" t="n">
        <v>498</v>
      </c>
      <c r="E38" s="18" t="n">
        <v>44.23657238</v>
      </c>
      <c r="F38" s="20" t="n">
        <v>2.58099607</v>
      </c>
      <c r="G38" s="18" t="n">
        <v>4.03951871</v>
      </c>
      <c r="H38" s="20" t="n">
        <v>1.17105566</v>
      </c>
      <c r="I38" s="18" t="n">
        <v>10.75181237</v>
      </c>
      <c r="J38" s="20" t="n">
        <v>1.57918938</v>
      </c>
      <c r="K38" s="18" t="n">
        <v>3.53207627</v>
      </c>
      <c r="L38" s="20" t="n">
        <v>0.98327166</v>
      </c>
      <c r="M38" s="18" t="n">
        <v>1.1070274</v>
      </c>
      <c r="N38" s="20" t="n">
        <v>0.44896402</v>
      </c>
      <c r="O38" s="18" t="n">
        <v>11.06621706</v>
      </c>
      <c r="P38" s="20" t="n">
        <v>1.65244462</v>
      </c>
      <c r="Q38" s="18" t="n">
        <v>3.57449396</v>
      </c>
      <c r="R38" s="20" t="n">
        <v>0.99583893</v>
      </c>
      <c r="S38" s="18" t="s">
        <v>349</v>
      </c>
      <c r="T38" s="20" t="s">
        <v>349</v>
      </c>
      <c r="U38" s="18" t="n">
        <v>0.46883796</v>
      </c>
      <c r="V38" s="20" t="n">
        <v>0.32084899</v>
      </c>
      <c r="W38" s="18" t="n">
        <v>0</v>
      </c>
      <c r="X38" s="20" t="n">
        <v>0</v>
      </c>
      <c r="Y38" s="18" t="n">
        <v>0</v>
      </c>
      <c r="Z38" s="20" t="n">
        <v>0</v>
      </c>
      <c r="AA38" s="18" t="n">
        <v>21.22344389</v>
      </c>
      <c r="AB38" s="20" t="n">
        <v>1.96392332</v>
      </c>
    </row>
    <row r="39" spans="1:28">
      <c r="A39" s="15" t="s">
        <v>381</v>
      </c>
      <c r="B39" s="17" t="n">
        <v>2957</v>
      </c>
      <c r="C39" s="18">
        <f>(2593.0/B39*100)</f>
        <v/>
      </c>
      <c r="D39" s="19" t="n">
        <v>364</v>
      </c>
      <c r="E39" s="18" t="n">
        <v>49.63951944</v>
      </c>
      <c r="F39" s="20" t="n">
        <v>3.01406209</v>
      </c>
      <c r="G39" s="18" t="n">
        <v>2.03565586</v>
      </c>
      <c r="H39" s="20" t="n">
        <v>0.68604555</v>
      </c>
      <c r="I39" s="18" t="n">
        <v>8.25070878</v>
      </c>
      <c r="J39" s="20" t="n">
        <v>1.44889922</v>
      </c>
      <c r="K39" s="18" t="n">
        <v>3.83021863</v>
      </c>
      <c r="L39" s="20" t="n">
        <v>1.28414495</v>
      </c>
      <c r="M39" s="18" t="n">
        <v>1.29305964</v>
      </c>
      <c r="N39" s="20" t="n">
        <v>0.86044275</v>
      </c>
      <c r="O39" s="18" t="n">
        <v>1.89601477</v>
      </c>
      <c r="P39" s="20" t="n">
        <v>0.777444</v>
      </c>
      <c r="Q39" s="18" t="n">
        <v>3.69343289</v>
      </c>
      <c r="R39" s="20" t="n">
        <v>0.93659786</v>
      </c>
      <c r="S39" s="18" t="s">
        <v>349</v>
      </c>
      <c r="T39" s="20" t="s">
        <v>349</v>
      </c>
      <c r="U39" s="18" t="n">
        <v>0</v>
      </c>
      <c r="V39" s="20" t="n">
        <v>0</v>
      </c>
      <c r="W39" s="18" t="n">
        <v>0</v>
      </c>
      <c r="X39" s="20" t="n">
        <v>0</v>
      </c>
      <c r="Y39" s="18" t="n">
        <v>0</v>
      </c>
      <c r="Z39" s="20" t="n">
        <v>0</v>
      </c>
      <c r="AA39" s="18" t="n">
        <v>29.36139001</v>
      </c>
      <c r="AB39" s="20" t="n">
        <v>3.10121496</v>
      </c>
    </row>
    <row r="40" spans="1:28">
      <c r="A40" s="15" t="s">
        <v>382</v>
      </c>
      <c r="B40" s="17" t="n">
        <v>7235</v>
      </c>
      <c r="C40" s="18">
        <f>(6327.0/B40*100)</f>
        <v/>
      </c>
      <c r="D40" s="19" t="n">
        <v>908</v>
      </c>
      <c r="E40" s="18" t="n">
        <v>47.04374725</v>
      </c>
      <c r="F40" s="20" t="n">
        <v>2.45790644</v>
      </c>
      <c r="G40" s="18" t="n">
        <v>2.49391181</v>
      </c>
      <c r="H40" s="20" t="n">
        <v>0.78830261</v>
      </c>
      <c r="I40" s="18" t="n">
        <v>8.10401433</v>
      </c>
      <c r="J40" s="20" t="n">
        <v>1.29555598</v>
      </c>
      <c r="K40" s="18" t="n">
        <v>1.01306439</v>
      </c>
      <c r="L40" s="20" t="n">
        <v>0.43132388</v>
      </c>
      <c r="M40" s="18" t="n">
        <v>0.38903709</v>
      </c>
      <c r="N40" s="20" t="n">
        <v>0.33622785</v>
      </c>
      <c r="O40" s="18" t="n">
        <v>9.92309783</v>
      </c>
      <c r="P40" s="20" t="n">
        <v>1.52162827</v>
      </c>
      <c r="Q40" s="18" t="n">
        <v>5.915466</v>
      </c>
      <c r="R40" s="20" t="n">
        <v>1.2334478</v>
      </c>
      <c r="S40" s="18" t="s">
        <v>349</v>
      </c>
      <c r="T40" s="20" t="s">
        <v>349</v>
      </c>
      <c r="U40" s="18" t="n">
        <v>0.57309997</v>
      </c>
      <c r="V40" s="20" t="n">
        <v>0.51560414</v>
      </c>
      <c r="W40" s="18" t="n">
        <v>0.08545579</v>
      </c>
      <c r="X40" s="20" t="n">
        <v>0.08274772</v>
      </c>
      <c r="Y40" s="18" t="n">
        <v>0</v>
      </c>
      <c r="Z40" s="20" t="n">
        <v>0</v>
      </c>
      <c r="AA40" s="18" t="n">
        <v>24.45910554</v>
      </c>
      <c r="AB40" s="20" t="n">
        <v>2.21249158</v>
      </c>
    </row>
    <row r="41" spans="1:28">
      <c r="A41" s="15" t="s">
        <v>383</v>
      </c>
      <c r="B41" s="17" t="n">
        <v>2858</v>
      </c>
      <c r="C41" s="18">
        <f>(2534.0/B41*100)</f>
        <v/>
      </c>
      <c r="D41" s="19" t="n">
        <v>324</v>
      </c>
      <c r="E41" s="18" t="n">
        <v>70.67492455999999</v>
      </c>
      <c r="F41" s="20" t="n">
        <v>2.57863026</v>
      </c>
      <c r="G41" s="18" t="n">
        <v>1.70692097</v>
      </c>
      <c r="H41" s="20" t="n">
        <v>0.71814342</v>
      </c>
      <c r="I41" s="18" t="n">
        <v>3.92593591</v>
      </c>
      <c r="J41" s="20" t="n">
        <v>1.0465682</v>
      </c>
      <c r="K41" s="18" t="n">
        <v>2.12585591</v>
      </c>
      <c r="L41" s="20" t="n">
        <v>0.94359793</v>
      </c>
      <c r="M41" s="18" t="n">
        <v>0.32193046</v>
      </c>
      <c r="N41" s="20" t="n">
        <v>0.36100966</v>
      </c>
      <c r="O41" s="18" t="n">
        <v>8.920642409999999</v>
      </c>
      <c r="P41" s="20" t="n">
        <v>1.86211457</v>
      </c>
      <c r="Q41" s="18" t="n">
        <v>6.15083678</v>
      </c>
      <c r="R41" s="20" t="n">
        <v>1.32942358</v>
      </c>
      <c r="S41" s="18" t="s">
        <v>349</v>
      </c>
      <c r="T41" s="20" t="s">
        <v>349</v>
      </c>
      <c r="U41" s="18" t="n">
        <v>0.28607637</v>
      </c>
      <c r="V41" s="20" t="n">
        <v>0.27802975</v>
      </c>
      <c r="W41" s="18" t="n">
        <v>0</v>
      </c>
      <c r="X41" s="20" t="n">
        <v>0</v>
      </c>
      <c r="Y41" s="18" t="n">
        <v>0</v>
      </c>
      <c r="Z41" s="20" t="n">
        <v>0</v>
      </c>
      <c r="AA41" s="18" t="n">
        <v>5.88687663</v>
      </c>
      <c r="AB41" s="20" t="n">
        <v>1.30400737</v>
      </c>
    </row>
    <row r="42" spans="1:2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c r="Y44" s="18" t="s">
        <v>349</v>
      </c>
      <c r="Z44" s="20" t="s">
        <v>349</v>
      </c>
      <c r="AA44" s="18" t="s">
        <v>349</v>
      </c>
      <c r="AB44" s="20" t="s">
        <v>349</v>
      </c>
    </row>
    <row r="45" spans="1:2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c r="Y45" s="18" t="s">
        <v>349</v>
      </c>
      <c r="Z45" s="20" t="s">
        <v>349</v>
      </c>
      <c r="AA45" s="18" t="s">
        <v>349</v>
      </c>
      <c r="AB45" s="20" t="s">
        <v>349</v>
      </c>
    </row>
    <row r="46" spans="1:28">
      <c r="A46" s="15" t="s">
        <v>388</v>
      </c>
      <c r="B46" s="17" t="n">
        <v>11068</v>
      </c>
      <c r="C46" s="18">
        <f>(9847.0/B46*100)</f>
        <v/>
      </c>
      <c r="D46" s="19" t="n">
        <v>1221</v>
      </c>
      <c r="E46" s="18" t="n">
        <v>57.29124595</v>
      </c>
      <c r="F46" s="20" t="n">
        <v>1.98736899</v>
      </c>
      <c r="G46" s="18" t="n">
        <v>0.0046241</v>
      </c>
      <c r="H46" s="20" t="n">
        <v>0.00450214</v>
      </c>
      <c r="I46" s="18" t="n">
        <v>0.04392976</v>
      </c>
      <c r="J46" s="20" t="n">
        <v>0.04211752</v>
      </c>
      <c r="K46" s="18" t="n">
        <v>0</v>
      </c>
      <c r="L46" s="20" t="n">
        <v>0</v>
      </c>
      <c r="M46" s="18" t="n">
        <v>0.57988255</v>
      </c>
      <c r="N46" s="20" t="n">
        <v>0.28735763</v>
      </c>
      <c r="O46" s="18" t="n">
        <v>1.68258181</v>
      </c>
      <c r="P46" s="20" t="n">
        <v>0.40911154</v>
      </c>
      <c r="Q46" s="18" t="n">
        <v>4.17535985</v>
      </c>
      <c r="R46" s="20" t="n">
        <v>0.6893315</v>
      </c>
      <c r="S46" s="18" t="s">
        <v>349</v>
      </c>
      <c r="T46" s="20" t="s">
        <v>349</v>
      </c>
      <c r="U46" s="18" t="n">
        <v>0.7296413</v>
      </c>
      <c r="V46" s="20" t="n">
        <v>0.31585231</v>
      </c>
      <c r="W46" s="18" t="n">
        <v>0.28680046</v>
      </c>
      <c r="X46" s="20" t="n">
        <v>0.21963035</v>
      </c>
      <c r="Y46" s="18" t="n">
        <v>0</v>
      </c>
      <c r="Z46" s="20" t="n">
        <v>0</v>
      </c>
      <c r="AA46" s="18" t="n">
        <v>35.20593421</v>
      </c>
      <c r="AB46" s="20" t="n">
        <v>1.95619461</v>
      </c>
    </row>
    <row r="47" spans="1:28">
      <c r="A47" s="15" t="s">
        <v>389</v>
      </c>
      <c r="B47" s="17" t="n">
        <v>3105</v>
      </c>
      <c r="C47" s="18">
        <f>(2731.0/B47*100)</f>
        <v/>
      </c>
      <c r="D47" s="19" t="n">
        <v>374</v>
      </c>
      <c r="E47" s="18" t="n">
        <v>56.8245813</v>
      </c>
      <c r="F47" s="20" t="n">
        <v>2.74276826</v>
      </c>
      <c r="G47" s="18" t="n">
        <v>2.40165176</v>
      </c>
      <c r="H47" s="20" t="n">
        <v>0.99706484</v>
      </c>
      <c r="I47" s="18" t="n">
        <v>1.80887846</v>
      </c>
      <c r="J47" s="20" t="n">
        <v>0.58757447</v>
      </c>
      <c r="K47" s="18" t="n">
        <v>1.59948014</v>
      </c>
      <c r="L47" s="20" t="n">
        <v>0.63633421</v>
      </c>
      <c r="M47" s="18" t="n">
        <v>0</v>
      </c>
      <c r="N47" s="20" t="n">
        <v>0</v>
      </c>
      <c r="O47" s="18" t="n">
        <v>3.93639635</v>
      </c>
      <c r="P47" s="20" t="n">
        <v>1.14271475</v>
      </c>
      <c r="Q47" s="18" t="n">
        <v>7.15358273</v>
      </c>
      <c r="R47" s="20" t="n">
        <v>1.38372663</v>
      </c>
      <c r="S47" s="18" t="s">
        <v>349</v>
      </c>
      <c r="T47" s="20" t="s">
        <v>349</v>
      </c>
      <c r="U47" s="18" t="n">
        <v>0.77641605</v>
      </c>
      <c r="V47" s="20" t="n">
        <v>0.44744731</v>
      </c>
      <c r="W47" s="18" t="n">
        <v>0</v>
      </c>
      <c r="X47" s="20" t="n">
        <v>0</v>
      </c>
      <c r="Y47" s="18" t="n">
        <v>0</v>
      </c>
      <c r="Z47" s="20" t="n">
        <v>0</v>
      </c>
      <c r="AA47" s="18" t="n">
        <v>25.49901322</v>
      </c>
      <c r="AB47" s="20" t="n">
        <v>2.11164905</v>
      </c>
    </row>
    <row r="48" spans="1:28">
      <c r="A48" s="15" t="s">
        <v>390</v>
      </c>
      <c r="B48" s="17" t="n">
        <v>5159</v>
      </c>
      <c r="C48" s="18">
        <f>(4501.0/B48*100)</f>
        <v/>
      </c>
      <c r="D48" s="19" t="n">
        <v>658</v>
      </c>
      <c r="E48" s="18" t="n">
        <v>45.71060683</v>
      </c>
      <c r="F48" s="20" t="n">
        <v>2.69153275</v>
      </c>
      <c r="G48" s="18" t="n">
        <v>0.88271187</v>
      </c>
      <c r="H48" s="20" t="n">
        <v>0.45845921</v>
      </c>
      <c r="I48" s="18" t="n">
        <v>5.63091331</v>
      </c>
      <c r="J48" s="20" t="n">
        <v>1.2489596</v>
      </c>
      <c r="K48" s="18" t="n">
        <v>8.09373798</v>
      </c>
      <c r="L48" s="20" t="n">
        <v>1.36945966</v>
      </c>
      <c r="M48" s="18" t="n">
        <v>0.09473415</v>
      </c>
      <c r="N48" s="20" t="n">
        <v>0.06514387000000001</v>
      </c>
      <c r="O48" s="18" t="n">
        <v>23.58737213</v>
      </c>
      <c r="P48" s="20" t="n">
        <v>2.49228357</v>
      </c>
      <c r="Q48" s="18" t="n">
        <v>2.22258358</v>
      </c>
      <c r="R48" s="20" t="n">
        <v>0.71697768</v>
      </c>
      <c r="S48" s="18" t="s">
        <v>349</v>
      </c>
      <c r="T48" s="20" t="s">
        <v>349</v>
      </c>
      <c r="U48" s="18" t="n">
        <v>0.28666618</v>
      </c>
      <c r="V48" s="20" t="n">
        <v>0.21359002</v>
      </c>
      <c r="W48" s="18" t="n">
        <v>0</v>
      </c>
      <c r="X48" s="20" t="n">
        <v>0</v>
      </c>
      <c r="Y48" s="18" t="n">
        <v>0</v>
      </c>
      <c r="Z48" s="20" t="n">
        <v>0</v>
      </c>
      <c r="AA48" s="18" t="n">
        <v>13.49067398</v>
      </c>
      <c r="AB48" s="20" t="n">
        <v>1.55938359</v>
      </c>
    </row>
    <row r="49" spans="1:2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c r="Y49" s="18" t="s">
        <v>349</v>
      </c>
      <c r="Z49" s="20" t="s">
        <v>349</v>
      </c>
      <c r="AA49" s="18" t="s">
        <v>349</v>
      </c>
      <c r="AB49" s="20" t="s">
        <v>349</v>
      </c>
    </row>
    <row r="50" spans="1:28">
      <c r="A50" s="15" t="s">
        <v>392</v>
      </c>
      <c r="B50" s="17" t="n">
        <v>5637</v>
      </c>
      <c r="C50" s="18">
        <f>(4962.0/B50*100)</f>
        <v/>
      </c>
      <c r="D50" s="19" t="n">
        <v>675</v>
      </c>
      <c r="E50" s="18" t="n">
        <v>66.03984654999999</v>
      </c>
      <c r="F50" s="20" t="n">
        <v>2.38190594</v>
      </c>
      <c r="G50" s="18" t="n">
        <v>0</v>
      </c>
      <c r="H50" s="20" t="n">
        <v>0</v>
      </c>
      <c r="I50" s="18" t="n">
        <v>5.16270786</v>
      </c>
      <c r="J50" s="20" t="n">
        <v>1.34837517</v>
      </c>
      <c r="K50" s="18" t="n">
        <v>0.67959286</v>
      </c>
      <c r="L50" s="20" t="n">
        <v>0.55269685</v>
      </c>
      <c r="M50" s="18" t="n">
        <v>0.16178815</v>
      </c>
      <c r="N50" s="20" t="n">
        <v>0.16149669</v>
      </c>
      <c r="O50" s="18" t="n">
        <v>1.12516998</v>
      </c>
      <c r="P50" s="20" t="n">
        <v>0.50384726</v>
      </c>
      <c r="Q50" s="18" t="n">
        <v>2.81959232</v>
      </c>
      <c r="R50" s="20" t="n">
        <v>0.85512694</v>
      </c>
      <c r="S50" s="18" t="s">
        <v>349</v>
      </c>
      <c r="T50" s="20" t="s">
        <v>349</v>
      </c>
      <c r="U50" s="18" t="n">
        <v>0.40064711</v>
      </c>
      <c r="V50" s="20" t="n">
        <v>0.27341683</v>
      </c>
      <c r="W50" s="18" t="n">
        <v>1.2314486</v>
      </c>
      <c r="X50" s="20" t="n">
        <v>0.47832257</v>
      </c>
      <c r="Y50" s="18" t="n">
        <v>0</v>
      </c>
      <c r="Z50" s="20" t="n">
        <v>0</v>
      </c>
      <c r="AA50" s="18" t="n">
        <v>22.37920657</v>
      </c>
      <c r="AB50" s="20" t="n">
        <v>2.13896565</v>
      </c>
    </row>
    <row r="51" spans="1:28">
      <c r="A51" s="15" t="s">
        <v>393</v>
      </c>
      <c r="B51" s="17" t="n">
        <v>3372</v>
      </c>
      <c r="C51" s="18">
        <f>(3027.0/B51*100)</f>
        <v/>
      </c>
      <c r="D51" s="19" t="n">
        <v>345</v>
      </c>
      <c r="E51" s="18" t="n">
        <v>57.88132794</v>
      </c>
      <c r="F51" s="20" t="n">
        <v>2.47915442</v>
      </c>
      <c r="G51" s="18" t="n">
        <v>0</v>
      </c>
      <c r="H51" s="20" t="n">
        <v>0</v>
      </c>
      <c r="I51" s="18" t="n">
        <v>0.32586667</v>
      </c>
      <c r="J51" s="20" t="n">
        <v>0.28328993</v>
      </c>
      <c r="K51" s="18" t="n">
        <v>0</v>
      </c>
      <c r="L51" s="20" t="n">
        <v>0</v>
      </c>
      <c r="M51" s="18" t="n">
        <v>0.27632007</v>
      </c>
      <c r="N51" s="20" t="n">
        <v>0.27869257</v>
      </c>
      <c r="O51" s="18" t="n">
        <v>0.18345213</v>
      </c>
      <c r="P51" s="20" t="n">
        <v>0.18351099</v>
      </c>
      <c r="Q51" s="18" t="n">
        <v>4.03363564</v>
      </c>
      <c r="R51" s="20" t="n">
        <v>1.15687728</v>
      </c>
      <c r="S51" s="18" t="s">
        <v>349</v>
      </c>
      <c r="T51" s="20" t="s">
        <v>349</v>
      </c>
      <c r="U51" s="18" t="n">
        <v>0.39333855</v>
      </c>
      <c r="V51" s="20" t="n">
        <v>0.39066101</v>
      </c>
      <c r="W51" s="18" t="n">
        <v>0.09503112</v>
      </c>
      <c r="X51" s="20" t="n">
        <v>0.09594680999999999</v>
      </c>
      <c r="Y51" s="18" t="n">
        <v>0</v>
      </c>
      <c r="Z51" s="20" t="n">
        <v>0</v>
      </c>
      <c r="AA51" s="18" t="n">
        <v>36.81102789</v>
      </c>
      <c r="AB51" s="20" t="n">
        <v>2.61893336</v>
      </c>
    </row>
    <row r="52" spans="1:28">
      <c r="A52" s="15" t="s">
        <v>394</v>
      </c>
      <c r="B52" s="17" t="n">
        <v>2796</v>
      </c>
      <c r="C52" s="18">
        <f>(2448.0/B52*100)</f>
        <v/>
      </c>
      <c r="D52" s="19" t="n">
        <v>348</v>
      </c>
      <c r="E52" s="18" t="n">
        <v>35.65336278</v>
      </c>
      <c r="F52" s="20" t="n">
        <v>2.50218373</v>
      </c>
      <c r="G52" s="18" t="n">
        <v>1.91944455</v>
      </c>
      <c r="H52" s="20" t="n">
        <v>0.74074633</v>
      </c>
      <c r="I52" s="18" t="n">
        <v>5.37949182</v>
      </c>
      <c r="J52" s="20" t="n">
        <v>1.16486964</v>
      </c>
      <c r="K52" s="18" t="n">
        <v>2.08140885</v>
      </c>
      <c r="L52" s="20" t="n">
        <v>0.81307592</v>
      </c>
      <c r="M52" s="18" t="n">
        <v>0</v>
      </c>
      <c r="N52" s="20" t="n">
        <v>0</v>
      </c>
      <c r="O52" s="18" t="n">
        <v>7.0820831</v>
      </c>
      <c r="P52" s="20" t="n">
        <v>1.22963013</v>
      </c>
      <c r="Q52" s="18" t="n">
        <v>3.84304822</v>
      </c>
      <c r="R52" s="20" t="n">
        <v>1.07593279</v>
      </c>
      <c r="S52" s="18" t="s">
        <v>349</v>
      </c>
      <c r="T52" s="20" t="s">
        <v>349</v>
      </c>
      <c r="U52" s="18" t="n">
        <v>0</v>
      </c>
      <c r="V52" s="20" t="n">
        <v>0</v>
      </c>
      <c r="W52" s="18" t="n">
        <v>0</v>
      </c>
      <c r="X52" s="20" t="n">
        <v>0</v>
      </c>
      <c r="Y52" s="18" t="n">
        <v>0</v>
      </c>
      <c r="Z52" s="20" t="n">
        <v>0</v>
      </c>
      <c r="AA52" s="18" t="n">
        <v>44.04116068</v>
      </c>
      <c r="AB52" s="20" t="n">
        <v>2.51374818</v>
      </c>
    </row>
    <row r="53" spans="1:28">
      <c r="A53" s="15" t="s">
        <v>395</v>
      </c>
      <c r="B53" s="17" t="n">
        <v>2811</v>
      </c>
      <c r="C53" s="18">
        <f>(2449.0/B53*100)</f>
        <v/>
      </c>
      <c r="D53" s="19" t="n">
        <v>362</v>
      </c>
      <c r="E53" s="18" t="n">
        <v>52.60027594</v>
      </c>
      <c r="F53" s="20" t="n">
        <v>2.60237489</v>
      </c>
      <c r="G53" s="18" t="n">
        <v>1.87565207</v>
      </c>
      <c r="H53" s="20" t="n">
        <v>0.77647024</v>
      </c>
      <c r="I53" s="18" t="n">
        <v>6.25437258</v>
      </c>
      <c r="J53" s="20" t="n">
        <v>1.38629128</v>
      </c>
      <c r="K53" s="18" t="n">
        <v>0.7126495900000001</v>
      </c>
      <c r="L53" s="20" t="n">
        <v>0.41139996</v>
      </c>
      <c r="M53" s="18" t="n">
        <v>0.75289642</v>
      </c>
      <c r="N53" s="20" t="n">
        <v>0.48673727</v>
      </c>
      <c r="O53" s="18" t="n">
        <v>3.79825191</v>
      </c>
      <c r="P53" s="20" t="n">
        <v>1.01826111</v>
      </c>
      <c r="Q53" s="18" t="n">
        <v>4.1731552</v>
      </c>
      <c r="R53" s="20" t="n">
        <v>1.19177832</v>
      </c>
      <c r="S53" s="18" t="s">
        <v>349</v>
      </c>
      <c r="T53" s="20" t="s">
        <v>349</v>
      </c>
      <c r="U53" s="18" t="n">
        <v>0.87648316</v>
      </c>
      <c r="V53" s="20" t="n">
        <v>0.43959304</v>
      </c>
      <c r="W53" s="18" t="n">
        <v>0.42862544</v>
      </c>
      <c r="X53" s="20" t="n">
        <v>0.43007943</v>
      </c>
      <c r="Y53" s="18" t="n">
        <v>0</v>
      </c>
      <c r="Z53" s="20" t="n">
        <v>0</v>
      </c>
      <c r="AA53" s="18" t="n">
        <v>28.52763769</v>
      </c>
      <c r="AB53" s="20" t="n">
        <v>2.34804677</v>
      </c>
    </row>
    <row r="54" spans="1:28">
      <c r="A54" s="15" t="s">
        <v>396</v>
      </c>
      <c r="B54" s="17" t="n">
        <v>2266</v>
      </c>
      <c r="C54" s="18">
        <f>(1863.0/B54*100)</f>
        <v/>
      </c>
      <c r="D54" s="19" t="n">
        <v>403</v>
      </c>
      <c r="E54" s="18" t="n">
        <v>47.48267015</v>
      </c>
      <c r="F54" s="20" t="n">
        <v>2.65830857</v>
      </c>
      <c r="G54" s="18" t="n">
        <v>0.46099195</v>
      </c>
      <c r="H54" s="20" t="n">
        <v>0.32683449</v>
      </c>
      <c r="I54" s="18" t="n">
        <v>0</v>
      </c>
      <c r="J54" s="20" t="n">
        <v>0</v>
      </c>
      <c r="K54" s="18" t="n">
        <v>0</v>
      </c>
      <c r="L54" s="20" t="n">
        <v>0</v>
      </c>
      <c r="M54" s="18" t="n">
        <v>0</v>
      </c>
      <c r="N54" s="20" t="n">
        <v>0</v>
      </c>
      <c r="O54" s="18" t="n">
        <v>0</v>
      </c>
      <c r="P54" s="20" t="n">
        <v>0</v>
      </c>
      <c r="Q54" s="18" t="n">
        <v>3.12026499</v>
      </c>
      <c r="R54" s="20" t="n">
        <v>1.18947479</v>
      </c>
      <c r="S54" s="18" t="s">
        <v>349</v>
      </c>
      <c r="T54" s="20" t="s">
        <v>349</v>
      </c>
      <c r="U54" s="18" t="n">
        <v>4.92337577</v>
      </c>
      <c r="V54" s="20" t="n">
        <v>1.22357364</v>
      </c>
      <c r="W54" s="18" t="n">
        <v>0.51990144</v>
      </c>
      <c r="X54" s="20" t="n">
        <v>0.54989095</v>
      </c>
      <c r="Y54" s="18" t="n">
        <v>0</v>
      </c>
      <c r="Z54" s="20" t="n">
        <v>0</v>
      </c>
      <c r="AA54" s="18" t="n">
        <v>43.4927957</v>
      </c>
      <c r="AB54" s="20" t="n">
        <v>2.73736281</v>
      </c>
    </row>
    <row r="55" spans="1:2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c r="Y55" s="18" t="s">
        <v>349</v>
      </c>
      <c r="Z55" s="20" t="s">
        <v>349</v>
      </c>
      <c r="AA55" s="18" t="s">
        <v>349</v>
      </c>
      <c r="AB55" s="20" t="s">
        <v>349</v>
      </c>
    </row>
    <row r="56" spans="1:28">
      <c r="A56" s="15" t="s">
        <v>398</v>
      </c>
      <c r="B56" s="17" t="n">
        <v>2684</v>
      </c>
      <c r="C56" s="18">
        <f>(2357.0/B56*100)</f>
        <v/>
      </c>
      <c r="D56" s="19" t="n">
        <v>327</v>
      </c>
      <c r="E56" s="18" t="n">
        <v>35.70232096</v>
      </c>
      <c r="F56" s="20" t="n">
        <v>2.92757931</v>
      </c>
      <c r="G56" s="18" t="n">
        <v>5.6360493</v>
      </c>
      <c r="H56" s="20" t="n">
        <v>1.10889791</v>
      </c>
      <c r="I56" s="18" t="n">
        <v>12.95072037</v>
      </c>
      <c r="J56" s="20" t="n">
        <v>1.99060798</v>
      </c>
      <c r="K56" s="18" t="n">
        <v>4.64430428</v>
      </c>
      <c r="L56" s="20" t="n">
        <v>1.27330801</v>
      </c>
      <c r="M56" s="18" t="n">
        <v>7.28142774</v>
      </c>
      <c r="N56" s="20" t="n">
        <v>1.44207718</v>
      </c>
      <c r="O56" s="18" t="n">
        <v>13.57170652</v>
      </c>
      <c r="P56" s="20" t="n">
        <v>2.00408952</v>
      </c>
      <c r="Q56" s="18" t="n">
        <v>2.6598751</v>
      </c>
      <c r="R56" s="20" t="n">
        <v>0.89281387</v>
      </c>
      <c r="S56" s="18" t="s">
        <v>349</v>
      </c>
      <c r="T56" s="20" t="s">
        <v>349</v>
      </c>
      <c r="U56" s="18" t="n">
        <v>0</v>
      </c>
      <c r="V56" s="20" t="n">
        <v>0</v>
      </c>
      <c r="W56" s="18" t="n">
        <v>0</v>
      </c>
      <c r="X56" s="20" t="n">
        <v>0</v>
      </c>
      <c r="Y56" s="18" t="n">
        <v>0</v>
      </c>
      <c r="Z56" s="20" t="n">
        <v>0</v>
      </c>
      <c r="AA56" s="18" t="n">
        <v>17.55359574</v>
      </c>
      <c r="AB56" s="20" t="n">
        <v>2.08605181</v>
      </c>
    </row>
    <row r="57" spans="1:2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c r="Y57" s="18" t="s">
        <v>349</v>
      </c>
      <c r="Z57" s="20" t="s">
        <v>349</v>
      </c>
      <c r="AA57" s="18" t="s">
        <v>349</v>
      </c>
      <c r="AB57" s="20" t="s">
        <v>349</v>
      </c>
    </row>
    <row r="58" spans="1:2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c r="Y58" s="18" t="s">
        <v>349</v>
      </c>
      <c r="Z58" s="20" t="s">
        <v>349</v>
      </c>
      <c r="AA58" s="18" t="s">
        <v>349</v>
      </c>
      <c r="AB58" s="20" t="s">
        <v>349</v>
      </c>
    </row>
    <row r="59" spans="1:2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c r="Y59" s="18" t="s">
        <v>349</v>
      </c>
      <c r="Z59" s="20" t="s">
        <v>349</v>
      </c>
      <c r="AA59" s="18" t="s">
        <v>349</v>
      </c>
      <c r="AB59" s="20" t="s">
        <v>349</v>
      </c>
    </row>
    <row r="60" spans="1:2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c r="Y60" s="18" t="s">
        <v>349</v>
      </c>
      <c r="Z60" s="20" t="s">
        <v>349</v>
      </c>
      <c r="AA60" s="18" t="s">
        <v>349</v>
      </c>
      <c r="AB60" s="20" t="s">
        <v>349</v>
      </c>
    </row>
    <row r="61" spans="1:28">
      <c r="A61" s="15" t="s">
        <v>403</v>
      </c>
      <c r="B61" s="17" t="n">
        <v>3324</v>
      </c>
      <c r="C61" s="18">
        <f>(2896.0/B61*100)</f>
        <v/>
      </c>
      <c r="D61" s="19" t="n">
        <v>428</v>
      </c>
      <c r="E61" s="18" t="n">
        <v>48.6955638</v>
      </c>
      <c r="F61" s="20" t="n">
        <v>2.74038354</v>
      </c>
      <c r="G61" s="18" t="n">
        <v>0.52673833</v>
      </c>
      <c r="H61" s="20" t="n">
        <v>0.38111266</v>
      </c>
      <c r="I61" s="18" t="n">
        <v>11.05853994</v>
      </c>
      <c r="J61" s="20" t="n">
        <v>1.81993685</v>
      </c>
      <c r="K61" s="18" t="n">
        <v>1.05574451</v>
      </c>
      <c r="L61" s="20" t="n">
        <v>0.51006286</v>
      </c>
      <c r="M61" s="18" t="n">
        <v>0</v>
      </c>
      <c r="N61" s="20" t="n">
        <v>0</v>
      </c>
      <c r="O61" s="18" t="n">
        <v>4.60298938</v>
      </c>
      <c r="P61" s="20" t="n">
        <v>0.83990491</v>
      </c>
      <c r="Q61" s="18" t="n">
        <v>6.86827481</v>
      </c>
      <c r="R61" s="20" t="n">
        <v>1.44218135</v>
      </c>
      <c r="S61" s="18" t="s">
        <v>349</v>
      </c>
      <c r="T61" s="20" t="s">
        <v>349</v>
      </c>
      <c r="U61" s="18" t="n">
        <v>0</v>
      </c>
      <c r="V61" s="20" t="n">
        <v>0</v>
      </c>
      <c r="W61" s="18" t="n">
        <v>0</v>
      </c>
      <c r="X61" s="20" t="n">
        <v>0</v>
      </c>
      <c r="Y61" s="18" t="n">
        <v>0</v>
      </c>
      <c r="Z61" s="20" t="n">
        <v>0</v>
      </c>
      <c r="AA61" s="18" t="n">
        <v>27.19214925</v>
      </c>
      <c r="AB61" s="20" t="n">
        <v>2.08937514</v>
      </c>
    </row>
    <row r="62" spans="1:28">
      <c r="A62" s="15" t="s">
        <v>404</v>
      </c>
      <c r="B62" s="17" t="n">
        <v>2246</v>
      </c>
      <c r="C62" s="18">
        <f>(1978.0/B62*100)</f>
        <v/>
      </c>
      <c r="D62" s="19" t="n">
        <v>268</v>
      </c>
      <c r="E62" s="18" t="n">
        <v>51.85477369</v>
      </c>
      <c r="F62" s="20" t="n">
        <v>2.92889642</v>
      </c>
      <c r="G62" s="18" t="n">
        <v>2.61959383</v>
      </c>
      <c r="H62" s="20" t="n">
        <v>0.96102919</v>
      </c>
      <c r="I62" s="18" t="n">
        <v>12.30701549</v>
      </c>
      <c r="J62" s="20" t="n">
        <v>2.10563354</v>
      </c>
      <c r="K62" s="18" t="n">
        <v>3.72177491</v>
      </c>
      <c r="L62" s="20" t="n">
        <v>1.11973249</v>
      </c>
      <c r="M62" s="18" t="n">
        <v>4.46472261</v>
      </c>
      <c r="N62" s="20" t="n">
        <v>1.32319157</v>
      </c>
      <c r="O62" s="18" t="n">
        <v>11.17886021</v>
      </c>
      <c r="P62" s="20" t="n">
        <v>2.04649317</v>
      </c>
      <c r="Q62" s="18" t="n">
        <v>2.6025383</v>
      </c>
      <c r="R62" s="20" t="n">
        <v>0.98997903</v>
      </c>
      <c r="S62" s="18" t="s">
        <v>349</v>
      </c>
      <c r="T62" s="20" t="s">
        <v>349</v>
      </c>
      <c r="U62" s="18" t="n">
        <v>0</v>
      </c>
      <c r="V62" s="20" t="n">
        <v>0</v>
      </c>
      <c r="W62" s="18" t="n">
        <v>0.37876405</v>
      </c>
      <c r="X62" s="20" t="n">
        <v>0.37672264</v>
      </c>
      <c r="Y62" s="18" t="n">
        <v>0</v>
      </c>
      <c r="Z62" s="20" t="n">
        <v>0</v>
      </c>
      <c r="AA62" s="18" t="n">
        <v>10.87195691</v>
      </c>
      <c r="AB62" s="20" t="n">
        <v>1.88776423</v>
      </c>
    </row>
    <row r="63" spans="1:2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c r="Y63" s="18" t="s">
        <v>349</v>
      </c>
      <c r="Z63" s="20" t="s">
        <v>349</v>
      </c>
      <c r="AA63" s="18" t="s">
        <v>349</v>
      </c>
      <c r="AB63" s="20" t="s">
        <v>349</v>
      </c>
    </row>
    <row r="64" spans="1:2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c r="Y64" s="18" t="s">
        <v>349</v>
      </c>
      <c r="Z64" s="20" t="s">
        <v>349</v>
      </c>
      <c r="AA64" s="18" t="s">
        <v>349</v>
      </c>
      <c r="AB64" s="20" t="s">
        <v>349</v>
      </c>
    </row>
    <row r="65" spans="1:2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c r="Y65" s="18" t="s">
        <v>349</v>
      </c>
      <c r="Z65" s="20" t="s">
        <v>349</v>
      </c>
      <c r="AA65" s="18" t="s">
        <v>349</v>
      </c>
      <c r="AB65" s="20" t="s">
        <v>349</v>
      </c>
    </row>
    <row r="66" spans="1:28">
      <c r="A66" s="15" t="s">
        <v>408</v>
      </c>
      <c r="B66" s="17" t="n">
        <v>2894</v>
      </c>
      <c r="C66" s="18">
        <f>(2531.0/B66*100)</f>
        <v/>
      </c>
      <c r="D66" s="19" t="n">
        <v>363</v>
      </c>
      <c r="E66" s="18" t="n">
        <v>34.72423102</v>
      </c>
      <c r="F66" s="20" t="n">
        <v>2.70333804</v>
      </c>
      <c r="G66" s="18" t="n">
        <v>0.33731703</v>
      </c>
      <c r="H66" s="20" t="n">
        <v>0.33202551</v>
      </c>
      <c r="I66" s="18" t="n">
        <v>6.13175113</v>
      </c>
      <c r="J66" s="20" t="n">
        <v>1.37159838</v>
      </c>
      <c r="K66" s="18" t="n">
        <v>1.29216067</v>
      </c>
      <c r="L66" s="20" t="n">
        <v>0.57371935</v>
      </c>
      <c r="M66" s="18" t="n">
        <v>0</v>
      </c>
      <c r="N66" s="20" t="n">
        <v>0</v>
      </c>
      <c r="O66" s="18" t="n">
        <v>1.64276021</v>
      </c>
      <c r="P66" s="20" t="n">
        <v>0.6414012</v>
      </c>
      <c r="Q66" s="18" t="n">
        <v>2.24119665</v>
      </c>
      <c r="R66" s="20" t="n">
        <v>0.75400457</v>
      </c>
      <c r="S66" s="18" t="s">
        <v>349</v>
      </c>
      <c r="T66" s="20" t="s">
        <v>349</v>
      </c>
      <c r="U66" s="18" t="n">
        <v>1.19057608</v>
      </c>
      <c r="V66" s="20" t="n">
        <v>0.58544255</v>
      </c>
      <c r="W66" s="18" t="n">
        <v>0.4807746</v>
      </c>
      <c r="X66" s="20" t="n">
        <v>0.33893629</v>
      </c>
      <c r="Y66" s="18" t="n">
        <v>0</v>
      </c>
      <c r="Z66" s="20" t="n">
        <v>0</v>
      </c>
      <c r="AA66" s="18" t="n">
        <v>51.95923261</v>
      </c>
      <c r="AB66" s="20" t="n">
        <v>3.00844863</v>
      </c>
    </row>
    <row r="67" spans="1:28">
      <c r="A67" s="15" t="s">
        <v>409</v>
      </c>
      <c r="B67" s="17" t="n">
        <v>3511</v>
      </c>
      <c r="C67" s="18">
        <f>(3102.0/B67*100)</f>
        <v/>
      </c>
      <c r="D67" s="19" t="n">
        <v>409</v>
      </c>
      <c r="E67" s="18" t="n">
        <v>58.13695621</v>
      </c>
      <c r="F67" s="20" t="n">
        <v>2.83843369</v>
      </c>
      <c r="G67" s="18" t="n">
        <v>0.46970297</v>
      </c>
      <c r="H67" s="20" t="n">
        <v>0.32894772</v>
      </c>
      <c r="I67" s="18" t="n">
        <v>1.58708187</v>
      </c>
      <c r="J67" s="20" t="n">
        <v>0.67236727</v>
      </c>
      <c r="K67" s="18" t="n">
        <v>0.49407616</v>
      </c>
      <c r="L67" s="20" t="n">
        <v>0.35116168</v>
      </c>
      <c r="M67" s="18" t="n">
        <v>0</v>
      </c>
      <c r="N67" s="20" t="n">
        <v>0</v>
      </c>
      <c r="O67" s="18" t="n">
        <v>0.96035892</v>
      </c>
      <c r="P67" s="20" t="n">
        <v>0.48257331</v>
      </c>
      <c r="Q67" s="18" t="n">
        <v>4.63081512</v>
      </c>
      <c r="R67" s="20" t="n">
        <v>0.96687717</v>
      </c>
      <c r="S67" s="18" t="s">
        <v>349</v>
      </c>
      <c r="T67" s="20" t="s">
        <v>349</v>
      </c>
      <c r="U67" s="18" t="n">
        <v>0</v>
      </c>
      <c r="V67" s="20" t="n">
        <v>0</v>
      </c>
      <c r="W67" s="18" t="n">
        <v>0.72908492</v>
      </c>
      <c r="X67" s="20" t="n">
        <v>0.42044391</v>
      </c>
      <c r="Y67" s="18" t="n">
        <v>0</v>
      </c>
      <c r="Z67" s="20" t="n">
        <v>0</v>
      </c>
      <c r="AA67" s="18" t="n">
        <v>32.99192382</v>
      </c>
      <c r="AB67" s="20" t="n">
        <v>2.83133804</v>
      </c>
    </row>
    <row r="68" spans="1:28">
      <c r="A68" s="15" t="s">
        <v>410</v>
      </c>
      <c r="B68" s="17" t="n">
        <v>6049</v>
      </c>
      <c r="C68" s="18">
        <f>(5042.0/B68*100)</f>
        <v/>
      </c>
      <c r="D68" s="19" t="n">
        <v>1007</v>
      </c>
      <c r="E68" s="18" t="n">
        <v>57.92430574</v>
      </c>
      <c r="F68" s="20" t="n">
        <v>1.45457275</v>
      </c>
      <c r="G68" s="18" t="n">
        <v>0.21321714</v>
      </c>
      <c r="H68" s="20" t="n">
        <v>0.15149341</v>
      </c>
      <c r="I68" s="18" t="n">
        <v>2.24889361</v>
      </c>
      <c r="J68" s="20" t="n">
        <v>0.47329153</v>
      </c>
      <c r="K68" s="18" t="n">
        <v>1.48140142</v>
      </c>
      <c r="L68" s="20" t="n">
        <v>0.34011459</v>
      </c>
      <c r="M68" s="18" t="n">
        <v>0.28144506</v>
      </c>
      <c r="N68" s="20" t="n">
        <v>0.16379531</v>
      </c>
      <c r="O68" s="18" t="n">
        <v>2.77946839</v>
      </c>
      <c r="P68" s="20" t="n">
        <v>0.5112529</v>
      </c>
      <c r="Q68" s="18" t="n">
        <v>2.26070562</v>
      </c>
      <c r="R68" s="20" t="n">
        <v>0.47364325</v>
      </c>
      <c r="S68" s="18" t="s">
        <v>349</v>
      </c>
      <c r="T68" s="20" t="s">
        <v>349</v>
      </c>
      <c r="U68" s="18" t="n">
        <v>2.9388593</v>
      </c>
      <c r="V68" s="20" t="n">
        <v>0.48863526</v>
      </c>
      <c r="W68" s="18" t="n">
        <v>0.09348855</v>
      </c>
      <c r="X68" s="20" t="n">
        <v>0.09403224</v>
      </c>
      <c r="Y68" s="18" t="n">
        <v>0</v>
      </c>
      <c r="Z68" s="20" t="n">
        <v>0</v>
      </c>
      <c r="AA68" s="18" t="n">
        <v>29.77821518</v>
      </c>
      <c r="AB68" s="20" t="n">
        <v>1.55584635</v>
      </c>
    </row>
    <row r="69" spans="1:2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c r="Y69" s="18" t="s">
        <v>349</v>
      </c>
      <c r="Z69" s="20" t="s">
        <v>349</v>
      </c>
      <c r="AA69" s="18" t="s">
        <v>349</v>
      </c>
      <c r="AB69" s="20" t="s">
        <v>349</v>
      </c>
    </row>
    <row r="70" spans="1:28">
      <c r="A70" s="15" t="s">
        <v>412</v>
      </c>
      <c r="B70" s="17" t="n">
        <v>2929</v>
      </c>
      <c r="C70" s="18">
        <f>(2576.0/B70*100)</f>
        <v/>
      </c>
      <c r="D70" s="19" t="n">
        <v>353</v>
      </c>
      <c r="E70" s="18" t="n">
        <v>56.9130298</v>
      </c>
      <c r="F70" s="20" t="n">
        <v>3.24000687</v>
      </c>
      <c r="G70" s="18" t="n">
        <v>1.07718574</v>
      </c>
      <c r="H70" s="20" t="n">
        <v>0.47964507</v>
      </c>
      <c r="I70" s="18" t="n">
        <v>2.92650841</v>
      </c>
      <c r="J70" s="20" t="n">
        <v>0.91548617</v>
      </c>
      <c r="K70" s="18" t="n">
        <v>1.65236901</v>
      </c>
      <c r="L70" s="20" t="n">
        <v>0.9794516</v>
      </c>
      <c r="M70" s="18" t="n">
        <v>1.09559625</v>
      </c>
      <c r="N70" s="20" t="n">
        <v>1.08104847</v>
      </c>
      <c r="O70" s="18" t="n">
        <v>5.12619964</v>
      </c>
      <c r="P70" s="20" t="n">
        <v>1.34256373</v>
      </c>
      <c r="Q70" s="18" t="n">
        <v>4.3081013</v>
      </c>
      <c r="R70" s="20" t="n">
        <v>1.41992268</v>
      </c>
      <c r="S70" s="18" t="s">
        <v>349</v>
      </c>
      <c r="T70" s="20" t="s">
        <v>349</v>
      </c>
      <c r="U70" s="18" t="n">
        <v>0</v>
      </c>
      <c r="V70" s="20" t="n">
        <v>0</v>
      </c>
      <c r="W70" s="18" t="n">
        <v>1.01659505</v>
      </c>
      <c r="X70" s="20" t="n">
        <v>0.49180461</v>
      </c>
      <c r="Y70" s="18" t="n">
        <v>0</v>
      </c>
      <c r="Z70" s="20" t="n">
        <v>0</v>
      </c>
      <c r="AA70" s="18" t="n">
        <v>25.8844148</v>
      </c>
      <c r="AB70" s="20" t="n">
        <v>2.57700658</v>
      </c>
    </row>
    <row r="71" spans="1:28">
      <c r="A71" s="15" t="s">
        <v>413</v>
      </c>
      <c r="B71" s="17" t="n">
        <v>3142</v>
      </c>
      <c r="C71" s="18">
        <f>(2753.0/B71*100)</f>
        <v/>
      </c>
      <c r="D71" s="19" t="n">
        <v>389</v>
      </c>
      <c r="E71" s="18" t="n">
        <v>36.54391515</v>
      </c>
      <c r="F71" s="20" t="n">
        <v>2.5268606</v>
      </c>
      <c r="G71" s="18" t="n">
        <v>2.45666503</v>
      </c>
      <c r="H71" s="20" t="n">
        <v>0.84223309</v>
      </c>
      <c r="I71" s="18" t="n">
        <v>16.59623639</v>
      </c>
      <c r="J71" s="20" t="n">
        <v>1.85974936</v>
      </c>
      <c r="K71" s="18" t="n">
        <v>2.20699009</v>
      </c>
      <c r="L71" s="20" t="n">
        <v>0.73361549</v>
      </c>
      <c r="M71" s="18" t="n">
        <v>0</v>
      </c>
      <c r="N71" s="20" t="n">
        <v>0</v>
      </c>
      <c r="O71" s="18" t="n">
        <v>30.40788473</v>
      </c>
      <c r="P71" s="20" t="n">
        <v>2.50860842</v>
      </c>
      <c r="Q71" s="18" t="n">
        <v>2.57069656</v>
      </c>
      <c r="R71" s="20" t="n">
        <v>0.82297978</v>
      </c>
      <c r="S71" s="18" t="s">
        <v>349</v>
      </c>
      <c r="T71" s="20" t="s">
        <v>349</v>
      </c>
      <c r="U71" s="18" t="n">
        <v>0.30672995</v>
      </c>
      <c r="V71" s="20" t="n">
        <v>0.21109813</v>
      </c>
      <c r="W71" s="18" t="n">
        <v>0</v>
      </c>
      <c r="X71" s="20" t="n">
        <v>0</v>
      </c>
      <c r="Y71" s="18" t="n">
        <v>0</v>
      </c>
      <c r="Z71" s="20" t="n">
        <v>0</v>
      </c>
      <c r="AA71" s="18" t="n">
        <v>8.910882089999999</v>
      </c>
      <c r="AB71" s="20" t="n">
        <v>1.30953388</v>
      </c>
    </row>
    <row r="72" spans="1:28">
      <c r="A72" s="15" t="s">
        <v>414</v>
      </c>
      <c r="B72" s="17" t="n">
        <v>3889</v>
      </c>
      <c r="C72" s="18">
        <f>(3421.0/B72*100)</f>
        <v/>
      </c>
      <c r="D72" s="19" t="n">
        <v>468</v>
      </c>
      <c r="E72" s="18" t="n">
        <v>59.72161002</v>
      </c>
      <c r="F72" s="20" t="n">
        <v>2.59202476</v>
      </c>
      <c r="G72" s="18" t="n">
        <v>1.29027696</v>
      </c>
      <c r="H72" s="20" t="n">
        <v>0.52699414</v>
      </c>
      <c r="I72" s="18" t="n">
        <v>3.72691371</v>
      </c>
      <c r="J72" s="20" t="n">
        <v>0.81351996</v>
      </c>
      <c r="K72" s="18" t="n">
        <v>0.64793041</v>
      </c>
      <c r="L72" s="20" t="n">
        <v>0.33423842</v>
      </c>
      <c r="M72" s="18" t="n">
        <v>0.28845</v>
      </c>
      <c r="N72" s="20" t="n">
        <v>0.28630819</v>
      </c>
      <c r="O72" s="18" t="n">
        <v>14.44677401</v>
      </c>
      <c r="P72" s="20" t="n">
        <v>1.95999412</v>
      </c>
      <c r="Q72" s="18" t="n">
        <v>4.64787674</v>
      </c>
      <c r="R72" s="20" t="n">
        <v>0.98873154</v>
      </c>
      <c r="S72" s="18" t="s">
        <v>349</v>
      </c>
      <c r="T72" s="20" t="s">
        <v>349</v>
      </c>
      <c r="U72" s="18" t="n">
        <v>0</v>
      </c>
      <c r="V72" s="20" t="n">
        <v>0</v>
      </c>
      <c r="W72" s="18" t="n">
        <v>0</v>
      </c>
      <c r="X72" s="20" t="n">
        <v>0</v>
      </c>
      <c r="Y72" s="18" t="n">
        <v>0</v>
      </c>
      <c r="Z72" s="20" t="n">
        <v>0</v>
      </c>
      <c r="AA72" s="18" t="n">
        <v>15.23016815</v>
      </c>
      <c r="AB72" s="20" t="n">
        <v>1.76772886</v>
      </c>
    </row>
    <row r="73" spans="1:28">
      <c r="A73" s="15" t="s">
        <v>415</v>
      </c>
      <c r="B73" s="17" t="n">
        <v>3597</v>
      </c>
      <c r="C73" s="18">
        <f>(3170.0/B73*100)</f>
        <v/>
      </c>
      <c r="D73" s="19" t="n">
        <v>427</v>
      </c>
      <c r="E73" s="18" t="n">
        <v>79.415222</v>
      </c>
      <c r="F73" s="20" t="n">
        <v>2.44620868</v>
      </c>
      <c r="G73" s="18" t="n">
        <v>0.82369475</v>
      </c>
      <c r="H73" s="20" t="n">
        <v>0.46111187</v>
      </c>
      <c r="I73" s="18" t="n">
        <v>2.89319342</v>
      </c>
      <c r="J73" s="20" t="n">
        <v>0.85064236</v>
      </c>
      <c r="K73" s="18" t="n">
        <v>0.36697441</v>
      </c>
      <c r="L73" s="20" t="n">
        <v>0.3614059</v>
      </c>
      <c r="M73" s="18" t="n">
        <v>0.37066569</v>
      </c>
      <c r="N73" s="20" t="n">
        <v>0.35574352</v>
      </c>
      <c r="O73" s="18" t="n">
        <v>2.79436593</v>
      </c>
      <c r="P73" s="20" t="n">
        <v>0.87657517</v>
      </c>
      <c r="Q73" s="18" t="n">
        <v>2.6206434</v>
      </c>
      <c r="R73" s="20" t="n">
        <v>1.01815689</v>
      </c>
      <c r="S73" s="18" t="s">
        <v>349</v>
      </c>
      <c r="T73" s="20" t="s">
        <v>349</v>
      </c>
      <c r="U73" s="18" t="n">
        <v>0</v>
      </c>
      <c r="V73" s="20" t="n">
        <v>0</v>
      </c>
      <c r="W73" s="18" t="n">
        <v>0.009662199999999999</v>
      </c>
      <c r="X73" s="20" t="n">
        <v>0.009712149999999999</v>
      </c>
      <c r="Y73" s="18" t="n">
        <v>0</v>
      </c>
      <c r="Z73" s="20" t="n">
        <v>0</v>
      </c>
      <c r="AA73" s="18" t="n">
        <v>10.7055782</v>
      </c>
      <c r="AB73" s="20" t="n">
        <v>1.94778924</v>
      </c>
    </row>
    <row r="74" spans="1:2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c r="Y74" s="18" t="s">
        <v>349</v>
      </c>
      <c r="Z74" s="20" t="s">
        <v>349</v>
      </c>
      <c r="AA74" s="18" t="s">
        <v>349</v>
      </c>
      <c r="AB74" s="20" t="s">
        <v>349</v>
      </c>
    </row>
    <row r="75" spans="1:28">
      <c r="A75" s="15" t="s">
        <v>417</v>
      </c>
      <c r="B75" s="17" t="n">
        <v>2406</v>
      </c>
      <c r="C75" s="18">
        <f>(2136.0/B75*100)</f>
        <v/>
      </c>
      <c r="D75" s="19" t="n">
        <v>270</v>
      </c>
      <c r="E75" s="18" t="n">
        <v>60.50041175</v>
      </c>
      <c r="F75" s="20" t="n">
        <v>3.39766929</v>
      </c>
      <c r="G75" s="18" t="n">
        <v>0</v>
      </c>
      <c r="H75" s="20" t="n">
        <v>0</v>
      </c>
      <c r="I75" s="18" t="n">
        <v>0</v>
      </c>
      <c r="J75" s="20" t="n">
        <v>0</v>
      </c>
      <c r="K75" s="18" t="n">
        <v>0</v>
      </c>
      <c r="L75" s="20" t="n">
        <v>0</v>
      </c>
      <c r="M75" s="18" t="n">
        <v>0.39821985</v>
      </c>
      <c r="N75" s="20" t="n">
        <v>0.35308037</v>
      </c>
      <c r="O75" s="18" t="n">
        <v>1.00785328</v>
      </c>
      <c r="P75" s="20" t="n">
        <v>0.62987572</v>
      </c>
      <c r="Q75" s="18" t="n">
        <v>2.97940774</v>
      </c>
      <c r="R75" s="20" t="n">
        <v>1.0249924</v>
      </c>
      <c r="S75" s="18" t="s">
        <v>349</v>
      </c>
      <c r="T75" s="20" t="s">
        <v>349</v>
      </c>
      <c r="U75" s="18" t="n">
        <v>1.9558477</v>
      </c>
      <c r="V75" s="20" t="n">
        <v>0.76849175</v>
      </c>
      <c r="W75" s="18" t="n">
        <v>1.12064138</v>
      </c>
      <c r="X75" s="20" t="n">
        <v>0.72356589</v>
      </c>
      <c r="Y75" s="18" t="n">
        <v>0</v>
      </c>
      <c r="Z75" s="20" t="n">
        <v>0</v>
      </c>
      <c r="AA75" s="18" t="n">
        <v>32.03761828</v>
      </c>
      <c r="AB75" s="20" t="n">
        <v>3.10370054</v>
      </c>
    </row>
    <row r="76" spans="1:28">
      <c r="A76" s="15" t="s">
        <v>418</v>
      </c>
      <c r="B76" s="17" t="n">
        <v>7052</v>
      </c>
      <c r="C76" s="18">
        <f>(6173.0/B76*100)</f>
        <v/>
      </c>
      <c r="D76" s="19" t="n">
        <v>879</v>
      </c>
      <c r="E76" s="18" t="n">
        <v>65.18901803999999</v>
      </c>
      <c r="F76" s="20" t="n">
        <v>2.08506669</v>
      </c>
      <c r="G76" s="18" t="n">
        <v>0.90907155</v>
      </c>
      <c r="H76" s="20" t="n">
        <v>0.44071661</v>
      </c>
      <c r="I76" s="18" t="n">
        <v>2.96680129</v>
      </c>
      <c r="J76" s="20" t="n">
        <v>0.75627456</v>
      </c>
      <c r="K76" s="18" t="n">
        <v>0.39226936</v>
      </c>
      <c r="L76" s="20" t="n">
        <v>0.28583808</v>
      </c>
      <c r="M76" s="18" t="n">
        <v>0.74519742</v>
      </c>
      <c r="N76" s="20" t="n">
        <v>0.41180503</v>
      </c>
      <c r="O76" s="18" t="n">
        <v>4.86296518</v>
      </c>
      <c r="P76" s="20" t="n">
        <v>0.93306998</v>
      </c>
      <c r="Q76" s="18" t="n">
        <v>4.99169142</v>
      </c>
      <c r="R76" s="20" t="n">
        <v>0.83452622</v>
      </c>
      <c r="S76" s="18" t="s">
        <v>349</v>
      </c>
      <c r="T76" s="20" t="s">
        <v>349</v>
      </c>
      <c r="U76" s="18" t="n">
        <v>0.75220133</v>
      </c>
      <c r="V76" s="20" t="n">
        <v>0.34779384</v>
      </c>
      <c r="W76" s="18" t="n">
        <v>0.18893497</v>
      </c>
      <c r="X76" s="20" t="n">
        <v>0.11824933</v>
      </c>
      <c r="Y76" s="18" t="n">
        <v>0</v>
      </c>
      <c r="Z76" s="20" t="n">
        <v>0</v>
      </c>
      <c r="AA76" s="18" t="n">
        <v>19.00184943</v>
      </c>
      <c r="AB76" s="20" t="n">
        <v>1.49970765</v>
      </c>
    </row>
    <row r="77" spans="1:28">
      <c r="A77" s="15" t="s">
        <v>419</v>
      </c>
      <c r="B77" s="17" t="n">
        <v>2908</v>
      </c>
      <c r="C77" s="18">
        <f>(2569.0/B77*100)</f>
        <v/>
      </c>
      <c r="D77" s="19" t="n">
        <v>339</v>
      </c>
      <c r="E77" s="18" t="n">
        <v>33.02925306</v>
      </c>
      <c r="F77" s="20" t="n">
        <v>3.01061415</v>
      </c>
      <c r="G77" s="18" t="n">
        <v>0.47680039</v>
      </c>
      <c r="H77" s="20" t="n">
        <v>0.3424436</v>
      </c>
      <c r="I77" s="18" t="n">
        <v>6.98761451</v>
      </c>
      <c r="J77" s="20" t="n">
        <v>1.63432367</v>
      </c>
      <c r="K77" s="18" t="n">
        <v>0</v>
      </c>
      <c r="L77" s="20" t="n">
        <v>0</v>
      </c>
      <c r="M77" s="18" t="n">
        <v>0.28058911</v>
      </c>
      <c r="N77" s="20" t="n">
        <v>0.29443132</v>
      </c>
      <c r="O77" s="18" t="n">
        <v>2.31182444</v>
      </c>
      <c r="P77" s="20" t="n">
        <v>0.8928733599999999</v>
      </c>
      <c r="Q77" s="18" t="n">
        <v>1.31130586</v>
      </c>
      <c r="R77" s="20" t="n">
        <v>0.59978447</v>
      </c>
      <c r="S77" s="18" t="s">
        <v>349</v>
      </c>
      <c r="T77" s="20" t="s">
        <v>349</v>
      </c>
      <c r="U77" s="18" t="n">
        <v>1.06311275</v>
      </c>
      <c r="V77" s="20" t="n">
        <v>0.70250751</v>
      </c>
      <c r="W77" s="18" t="n">
        <v>6.74919077</v>
      </c>
      <c r="X77" s="20" t="n">
        <v>1.65110075</v>
      </c>
      <c r="Y77" s="18" t="n">
        <v>0</v>
      </c>
      <c r="Z77" s="20" t="n">
        <v>0</v>
      </c>
      <c r="AA77" s="18" t="n">
        <v>47.79030912</v>
      </c>
      <c r="AB77" s="20" t="n">
        <v>3.09448164</v>
      </c>
    </row>
    <row r="78" spans="1:2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c r="Y78" s="18" t="s">
        <v>349</v>
      </c>
      <c r="Z78" s="20" t="s">
        <v>349</v>
      </c>
      <c r="AA78" s="18" t="s">
        <v>349</v>
      </c>
      <c r="AB78" s="20" t="s">
        <v>349</v>
      </c>
    </row>
    <row customHeight="1" ht="25" r="79" spans="1:2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c r="Y79" s="18" t="s">
        <v>349</v>
      </c>
      <c r="Z79" s="20" t="s">
        <v>349</v>
      </c>
      <c r="AA79" s="18" t="s">
        <v>349</v>
      </c>
      <c r="AB79" s="20" t="s">
        <v>349</v>
      </c>
    </row>
    <row r="80" spans="1:2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c r="AA80" s="18" t="s">
        <v>349</v>
      </c>
      <c r="AB80" s="20" t="s">
        <v>349</v>
      </c>
    </row>
    <row r="81" spans="1:28">
      <c r="A81" s="21" t="s">
        <v>423</v>
      </c>
      <c r="B81" s="17" t="n">
        <v>4163</v>
      </c>
      <c r="C81" s="18">
        <f>(3653.0/B81*100)</f>
        <v/>
      </c>
      <c r="D81" s="19" t="n">
        <v>510</v>
      </c>
      <c r="E81" s="18" t="n">
        <v>67.47014323000001</v>
      </c>
      <c r="F81" s="20" t="n">
        <v>2.80354189</v>
      </c>
      <c r="G81" s="18" t="n">
        <v>0.93939318</v>
      </c>
      <c r="H81" s="20" t="n">
        <v>0.53648772</v>
      </c>
      <c r="I81" s="18" t="n">
        <v>5.35082332</v>
      </c>
      <c r="J81" s="20" t="n">
        <v>1.13760355</v>
      </c>
      <c r="K81" s="18" t="n">
        <v>0.8185322</v>
      </c>
      <c r="L81" s="20" t="n">
        <v>0.46097714</v>
      </c>
      <c r="M81" s="18" t="n">
        <v>0.83861008</v>
      </c>
      <c r="N81" s="20" t="n">
        <v>0.4805038</v>
      </c>
      <c r="O81" s="18" t="n">
        <v>6.77546403</v>
      </c>
      <c r="P81" s="20" t="n">
        <v>1.29574679</v>
      </c>
      <c r="Q81" s="18" t="n">
        <v>3.40030166</v>
      </c>
      <c r="R81" s="20" t="n">
        <v>1.04333537</v>
      </c>
      <c r="S81" s="18" t="s">
        <v>349</v>
      </c>
      <c r="T81" s="20" t="s">
        <v>349</v>
      </c>
      <c r="U81" s="18" t="n">
        <v>0.29747954</v>
      </c>
      <c r="V81" s="20" t="n">
        <v>0.27956224</v>
      </c>
      <c r="W81" s="18" t="n">
        <v>0</v>
      </c>
      <c r="X81" s="20" t="n">
        <v>0</v>
      </c>
      <c r="Y81" s="18" t="n">
        <v>0</v>
      </c>
      <c r="Z81" s="20" t="n">
        <v>0</v>
      </c>
      <c r="AA81" s="18" t="n">
        <v>14.10925274</v>
      </c>
      <c r="AB81" s="20" t="n">
        <v>1.92970216</v>
      </c>
    </row>
    <row r="82" spans="1:2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c r="AA82" s="22" t="s">
        <v>424</v>
      </c>
      <c r="AB82" s="22" t="s">
        <v>424</v>
      </c>
    </row>
    <row r="83" spans="1:28">
      <c r="A83" s="3" t="s">
        <v>425</v>
      </c>
    </row>
    <row r="84" spans="1:28">
      <c r="A84" s="23" t="s">
        <v>426</v>
      </c>
    </row>
    <row r="85" spans="1:28">
      <c r="A85" s="23" t="s">
        <v>427</v>
      </c>
    </row>
    <row customHeight="1" ht="30" r="86" spans="1:28">
      <c r="A86" s="23" t="s">
        <v>428</v>
      </c>
    </row>
    <row customHeight="1" ht="30" r="87" spans="1:28">
      <c r="A87" s="23" t="s">
        <v>424</v>
      </c>
    </row>
    <row customHeight="1" ht="30" r="88" spans="1:28">
      <c r="A88" s="23" t="s">
        <v>429</v>
      </c>
    </row>
    <row customHeight="1" ht="30" r="89" spans="1:28">
      <c r="A89" s="23" t="s">
        <v>430</v>
      </c>
    </row>
    <row customHeight="1" ht="30" r="90" spans="1:28">
      <c r="A90" s="23" t="s">
        <v>431</v>
      </c>
    </row>
    <row customHeight="1" ht="30" r="91" spans="1:28">
      <c r="A91" s="23" t="s">
        <v>432</v>
      </c>
    </row>
    <row customHeight="1" ht="30" r="92" spans="1:28">
      <c r="A92" s="23" t="s">
        <v>433</v>
      </c>
    </row>
    <row customHeight="1" ht="30" r="93" spans="1:28">
      <c r="A93" s="23" t="s">
        <v>434</v>
      </c>
    </row>
    <row customHeight="1" ht="30" r="94" spans="1:28">
      <c r="A94" s="23" t="s">
        <v>435</v>
      </c>
    </row>
    <row customHeight="1" ht="30" r="95" spans="1:28">
      <c r="A95" s="23" t="s">
        <v>436</v>
      </c>
    </row>
    <row customHeight="1" ht="30" r="96" spans="1:28">
      <c r="A96" s="23" t="s">
        <v>437</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(6452.0/B7*100)</f>
        <v/>
      </c>
      <c r="D7" s="19" t="n">
        <v>915</v>
      </c>
      <c r="E7" s="18" t="n">
        <v>37.73175618</v>
      </c>
      <c r="F7" s="20" t="n">
        <v>2.14825453</v>
      </c>
      <c r="G7" s="18" t="n">
        <v>58.79770056</v>
      </c>
      <c r="H7" s="20" t="n">
        <v>2.01415317</v>
      </c>
      <c r="I7" s="18" t="s">
        <v>349</v>
      </c>
      <c r="J7" s="20" t="s">
        <v>349</v>
      </c>
      <c r="K7" s="18" t="n">
        <v>1.37955436</v>
      </c>
      <c r="L7" s="20" t="n">
        <v>0.43816042</v>
      </c>
      <c r="M7" s="18" t="n">
        <v>0</v>
      </c>
      <c r="N7" s="20" t="n">
        <v>0</v>
      </c>
      <c r="O7" s="18" t="n">
        <v>0</v>
      </c>
      <c r="P7" s="20" t="n">
        <v>0</v>
      </c>
      <c r="Q7" s="18" t="n">
        <v>2.0909889</v>
      </c>
      <c r="R7" s="20" t="n">
        <v>0.54721198</v>
      </c>
    </row>
    <row r="8" spans="1:18">
      <c r="A8" s="15" t="s">
        <v>350</v>
      </c>
      <c r="B8" s="17" t="n">
        <v>3564</v>
      </c>
      <c r="C8" s="18">
        <f>(3135.0/B8*100)</f>
        <v/>
      </c>
      <c r="D8" s="19" t="n">
        <v>429</v>
      </c>
      <c r="E8" s="18" t="n">
        <v>41.39962148</v>
      </c>
      <c r="F8" s="20" t="n">
        <v>2.72946688</v>
      </c>
      <c r="G8" s="18" t="n">
        <v>54.47240888</v>
      </c>
      <c r="H8" s="20" t="n">
        <v>2.74594661</v>
      </c>
      <c r="I8" s="18" t="s">
        <v>349</v>
      </c>
      <c r="J8" s="20" t="s">
        <v>349</v>
      </c>
      <c r="K8" s="18" t="n">
        <v>0</v>
      </c>
      <c r="L8" s="20" t="n">
        <v>0</v>
      </c>
      <c r="M8" s="18" t="n">
        <v>0</v>
      </c>
      <c r="N8" s="20" t="n">
        <v>0</v>
      </c>
      <c r="O8" s="18" t="n">
        <v>0</v>
      </c>
      <c r="P8" s="20" t="n">
        <v>0</v>
      </c>
      <c r="Q8" s="18" t="n">
        <v>4.12796964</v>
      </c>
      <c r="R8" s="20" t="n">
        <v>0.94133431</v>
      </c>
    </row>
    <row r="9" spans="1:18">
      <c r="A9" s="15" t="s">
        <v>351</v>
      </c>
      <c r="B9" s="17" t="n">
        <v>4899</v>
      </c>
      <c r="C9" s="18">
        <f>(4332.0/B9*100)</f>
        <v/>
      </c>
      <c r="D9" s="19" t="n">
        <v>567</v>
      </c>
      <c r="E9" s="18" t="n">
        <v>44.33570066</v>
      </c>
      <c r="F9" s="20" t="n">
        <v>2.35080247</v>
      </c>
      <c r="G9" s="18" t="n">
        <v>53.4217528</v>
      </c>
      <c r="H9" s="20" t="n">
        <v>2.44642933</v>
      </c>
      <c r="I9" s="18" t="s">
        <v>349</v>
      </c>
      <c r="J9" s="20" t="s">
        <v>349</v>
      </c>
      <c r="K9" s="18" t="n">
        <v>0.14715728</v>
      </c>
      <c r="L9" s="20" t="n">
        <v>0.15151924</v>
      </c>
      <c r="M9" s="18" t="n">
        <v>0</v>
      </c>
      <c r="N9" s="20" t="n">
        <v>0</v>
      </c>
      <c r="O9" s="18" t="n">
        <v>0</v>
      </c>
      <c r="P9" s="20" t="n">
        <v>0</v>
      </c>
      <c r="Q9" s="18" t="n">
        <v>2.09538926</v>
      </c>
      <c r="R9" s="20" t="n">
        <v>0.5686193</v>
      </c>
    </row>
    <row r="10" spans="1:18">
      <c r="A10" s="15" t="s">
        <v>352</v>
      </c>
      <c r="B10" s="17" t="n">
        <v>10036</v>
      </c>
      <c r="C10" s="18">
        <f>(8810.0/B10*100)</f>
        <v/>
      </c>
      <c r="D10" s="19" t="n">
        <v>1226</v>
      </c>
      <c r="E10" s="18" t="n">
        <v>35.28626976</v>
      </c>
      <c r="F10" s="20" t="n">
        <v>2.11366687</v>
      </c>
      <c r="G10" s="18" t="n">
        <v>63.31902388</v>
      </c>
      <c r="H10" s="20" t="n">
        <v>2.1191311</v>
      </c>
      <c r="I10" s="18" t="s">
        <v>349</v>
      </c>
      <c r="J10" s="20" t="s">
        <v>349</v>
      </c>
      <c r="K10" s="18" t="n">
        <v>0.19134735</v>
      </c>
      <c r="L10" s="20" t="n">
        <v>0.10388121</v>
      </c>
      <c r="M10" s="18" t="n">
        <v>0</v>
      </c>
      <c r="N10" s="20" t="n">
        <v>0</v>
      </c>
      <c r="O10" s="18" t="n">
        <v>0</v>
      </c>
      <c r="P10" s="20" t="n">
        <v>0</v>
      </c>
      <c r="Q10" s="18" t="n">
        <v>1.20335901</v>
      </c>
      <c r="R10" s="20" t="n">
        <v>0.39467191</v>
      </c>
    </row>
    <row r="11" spans="1:18">
      <c r="A11" s="15" t="s">
        <v>353</v>
      </c>
      <c r="B11" s="17" t="n">
        <v>3553</v>
      </c>
      <c r="C11" s="18">
        <f>(3121.0/B11*100)</f>
        <v/>
      </c>
      <c r="D11" s="19" t="n">
        <v>432</v>
      </c>
      <c r="E11" s="18" t="n">
        <v>53.00494822</v>
      </c>
      <c r="F11" s="20" t="n">
        <v>3.04606308</v>
      </c>
      <c r="G11" s="18" t="n">
        <v>43.27391133</v>
      </c>
      <c r="H11" s="20" t="n">
        <v>2.77133083</v>
      </c>
      <c r="I11" s="18" t="s">
        <v>349</v>
      </c>
      <c r="J11" s="20" t="s">
        <v>349</v>
      </c>
      <c r="K11" s="18" t="n">
        <v>0.84586181</v>
      </c>
      <c r="L11" s="20" t="n">
        <v>0.39765878</v>
      </c>
      <c r="M11" s="18" t="n">
        <v>0</v>
      </c>
      <c r="N11" s="20" t="n">
        <v>0</v>
      </c>
      <c r="O11" s="18" t="n">
        <v>0</v>
      </c>
      <c r="P11" s="20" t="n">
        <v>0</v>
      </c>
      <c r="Q11" s="18" t="n">
        <v>2.87527864</v>
      </c>
      <c r="R11" s="20" t="n">
        <v>1.13905031</v>
      </c>
    </row>
    <row r="12" spans="1:18">
      <c r="A12" s="15" t="s">
        <v>354</v>
      </c>
      <c r="B12" s="17" t="n">
        <v>3472</v>
      </c>
      <c r="C12" s="18">
        <f>(3071.0/B12*100)</f>
        <v/>
      </c>
      <c r="D12" s="19" t="n">
        <v>401</v>
      </c>
      <c r="E12" s="18" t="n">
        <v>44.26665302</v>
      </c>
      <c r="F12" s="20" t="n">
        <v>2.88664765</v>
      </c>
      <c r="G12" s="18" t="n">
        <v>53.56367732</v>
      </c>
      <c r="H12" s="20" t="n">
        <v>2.90139371</v>
      </c>
      <c r="I12" s="18" t="s">
        <v>349</v>
      </c>
      <c r="J12" s="20" t="s">
        <v>349</v>
      </c>
      <c r="K12" s="18" t="n">
        <v>0</v>
      </c>
      <c r="L12" s="20" t="n">
        <v>0</v>
      </c>
      <c r="M12" s="18" t="n">
        <v>0</v>
      </c>
      <c r="N12" s="20" t="n">
        <v>0</v>
      </c>
      <c r="O12" s="18" t="n">
        <v>0</v>
      </c>
      <c r="P12" s="20" t="n">
        <v>0</v>
      </c>
      <c r="Q12" s="18" t="n">
        <v>2.16966967</v>
      </c>
      <c r="R12" s="20" t="n">
        <v>0.89711285</v>
      </c>
    </row>
    <row r="13" spans="1:18">
      <c r="A13" s="15" t="s">
        <v>355</v>
      </c>
      <c r="B13" s="17" t="n">
        <v>3559</v>
      </c>
      <c r="C13" s="18">
        <f>(3137.0/B13*100)</f>
        <v/>
      </c>
      <c r="D13" s="19" t="n">
        <v>422</v>
      </c>
      <c r="E13" s="18" t="n">
        <v>33.76421975</v>
      </c>
      <c r="F13" s="20" t="n">
        <v>2.83977257</v>
      </c>
      <c r="G13" s="18" t="n">
        <v>64.66058520999999</v>
      </c>
      <c r="H13" s="20" t="n">
        <v>2.95994979</v>
      </c>
      <c r="I13" s="18" t="s">
        <v>349</v>
      </c>
      <c r="J13" s="20" t="s">
        <v>349</v>
      </c>
      <c r="K13" s="18" t="n">
        <v>0.48976182</v>
      </c>
      <c r="L13" s="20" t="n">
        <v>0.33998382</v>
      </c>
      <c r="M13" s="18" t="n">
        <v>0</v>
      </c>
      <c r="N13" s="20" t="n">
        <v>0</v>
      </c>
      <c r="O13" s="18" t="n">
        <v>0</v>
      </c>
      <c r="P13" s="20" t="n">
        <v>0</v>
      </c>
      <c r="Q13" s="18" t="n">
        <v>1.08543322</v>
      </c>
      <c r="R13" s="20" t="n">
        <v>0.63337973</v>
      </c>
    </row>
    <row r="14" spans="1:18">
      <c r="A14" s="15" t="s">
        <v>356</v>
      </c>
      <c r="B14" s="17" t="n">
        <v>2799</v>
      </c>
      <c r="C14" s="18">
        <f>(2455.0/B14*100)</f>
        <v/>
      </c>
      <c r="D14" s="19" t="n">
        <v>344</v>
      </c>
      <c r="E14" s="18" t="n">
        <v>36.28895509</v>
      </c>
      <c r="F14" s="20" t="n">
        <v>2.63367901</v>
      </c>
      <c r="G14" s="18" t="n">
        <v>63.21186397</v>
      </c>
      <c r="H14" s="20" t="n">
        <v>2.58505739</v>
      </c>
      <c r="I14" s="18" t="s">
        <v>349</v>
      </c>
      <c r="J14" s="20" t="s">
        <v>349</v>
      </c>
      <c r="K14" s="18" t="n">
        <v>0</v>
      </c>
      <c r="L14" s="20" t="n">
        <v>0</v>
      </c>
      <c r="M14" s="18" t="n">
        <v>0</v>
      </c>
      <c r="N14" s="20" t="n">
        <v>0</v>
      </c>
      <c r="O14" s="18" t="n">
        <v>0</v>
      </c>
      <c r="P14" s="20" t="n">
        <v>0</v>
      </c>
      <c r="Q14" s="18" t="n">
        <v>0.49918094</v>
      </c>
      <c r="R14" s="20" t="n">
        <v>0.35829122</v>
      </c>
    </row>
    <row r="15" spans="1:18">
      <c r="A15" s="15" t="s">
        <v>357</v>
      </c>
      <c r="B15" s="17" t="n">
        <v>3019</v>
      </c>
      <c r="C15" s="18">
        <f>(2665.0/B15*100)</f>
        <v/>
      </c>
      <c r="D15" s="19" t="n">
        <v>354</v>
      </c>
      <c r="E15" s="18" t="n">
        <v>32.2817291</v>
      </c>
      <c r="F15" s="20" t="n">
        <v>2.2630941</v>
      </c>
      <c r="G15" s="18" t="n">
        <v>65.50175813</v>
      </c>
      <c r="H15" s="20" t="n">
        <v>2.5057136</v>
      </c>
      <c r="I15" s="18" t="s">
        <v>349</v>
      </c>
      <c r="J15" s="20" t="s">
        <v>349</v>
      </c>
      <c r="K15" s="18" t="n">
        <v>0</v>
      </c>
      <c r="L15" s="20" t="n">
        <v>0</v>
      </c>
      <c r="M15" s="18" t="n">
        <v>0</v>
      </c>
      <c r="N15" s="20" t="n">
        <v>0</v>
      </c>
      <c r="O15" s="18" t="n">
        <v>0</v>
      </c>
      <c r="P15" s="20" t="n">
        <v>0</v>
      </c>
      <c r="Q15" s="18" t="n">
        <v>2.21651276</v>
      </c>
      <c r="R15" s="20" t="n">
        <v>0.83875462</v>
      </c>
    </row>
    <row r="16" spans="1:18">
      <c r="A16" s="15" t="s">
        <v>358</v>
      </c>
      <c r="B16" s="17" t="n">
        <v>2997</v>
      </c>
      <c r="C16" s="18">
        <f>(2613.0/B16*100)</f>
        <v/>
      </c>
      <c r="D16" s="19" t="n">
        <v>384</v>
      </c>
      <c r="E16" s="18" t="n">
        <v>35.46996057</v>
      </c>
      <c r="F16" s="20" t="n">
        <v>2.51733812</v>
      </c>
      <c r="G16" s="18" t="n">
        <v>59.64702597</v>
      </c>
      <c r="H16" s="20" t="n">
        <v>2.71037763</v>
      </c>
      <c r="I16" s="18" t="s">
        <v>349</v>
      </c>
      <c r="J16" s="20" t="s">
        <v>349</v>
      </c>
      <c r="K16" s="18" t="n">
        <v>0.72670446</v>
      </c>
      <c r="L16" s="20" t="n">
        <v>0.44836888</v>
      </c>
      <c r="M16" s="18" t="n">
        <v>0</v>
      </c>
      <c r="N16" s="20" t="n">
        <v>0</v>
      </c>
      <c r="O16" s="18" t="n">
        <v>0</v>
      </c>
      <c r="P16" s="20" t="n">
        <v>0</v>
      </c>
      <c r="Q16" s="18" t="n">
        <v>4.15630899</v>
      </c>
      <c r="R16" s="20" t="n">
        <v>1.01905006</v>
      </c>
    </row>
    <row r="17" spans="1:18">
      <c r="A17" s="15" t="s">
        <v>359</v>
      </c>
      <c r="B17" s="17" t="n">
        <v>3307</v>
      </c>
      <c r="C17" s="18">
        <f>(2910.0/B17*100)</f>
        <v/>
      </c>
      <c r="D17" s="19" t="n">
        <v>397</v>
      </c>
      <c r="E17" s="18" t="n">
        <v>41.96902077</v>
      </c>
      <c r="F17" s="20" t="n">
        <v>2.89407081</v>
      </c>
      <c r="G17" s="18" t="n">
        <v>54.94000731</v>
      </c>
      <c r="H17" s="20" t="n">
        <v>2.65762802</v>
      </c>
      <c r="I17" s="18" t="s">
        <v>349</v>
      </c>
      <c r="J17" s="20" t="s">
        <v>349</v>
      </c>
      <c r="K17" s="18" t="n">
        <v>0.92881283</v>
      </c>
      <c r="L17" s="20" t="n">
        <v>0.32919542</v>
      </c>
      <c r="M17" s="18" t="n">
        <v>0</v>
      </c>
      <c r="N17" s="20" t="n">
        <v>0</v>
      </c>
      <c r="O17" s="18" t="n">
        <v>0</v>
      </c>
      <c r="P17" s="20" t="n">
        <v>0</v>
      </c>
      <c r="Q17" s="18" t="n">
        <v>2.16215909</v>
      </c>
      <c r="R17" s="20" t="n">
        <v>0.78048876</v>
      </c>
    </row>
    <row r="18" spans="1:18">
      <c r="A18" s="15" t="s">
        <v>360</v>
      </c>
      <c r="B18" s="17" t="n">
        <v>2826</v>
      </c>
      <c r="C18" s="18">
        <f>(2479.0/B18*100)</f>
        <v/>
      </c>
      <c r="D18" s="19" t="n">
        <v>347</v>
      </c>
      <c r="E18" s="18" t="n">
        <v>55.70452338</v>
      </c>
      <c r="F18" s="20" t="n">
        <v>3.00626809</v>
      </c>
      <c r="G18" s="18" t="n">
        <v>41.48356335</v>
      </c>
      <c r="H18" s="20" t="n">
        <v>2.99910686</v>
      </c>
      <c r="I18" s="18" t="s">
        <v>349</v>
      </c>
      <c r="J18" s="20" t="s">
        <v>349</v>
      </c>
      <c r="K18" s="18" t="n">
        <v>0.29507905</v>
      </c>
      <c r="L18" s="20" t="n">
        <v>0.29654466</v>
      </c>
      <c r="M18" s="18" t="n">
        <v>0</v>
      </c>
      <c r="N18" s="20" t="n">
        <v>0</v>
      </c>
      <c r="O18" s="18" t="n">
        <v>0</v>
      </c>
      <c r="P18" s="20" t="n">
        <v>0</v>
      </c>
      <c r="Q18" s="18" t="n">
        <v>2.51683422</v>
      </c>
      <c r="R18" s="20" t="n">
        <v>1.28891977</v>
      </c>
    </row>
    <row r="19" spans="1:18">
      <c r="A19" s="15" t="s">
        <v>361</v>
      </c>
      <c r="B19" s="17" t="n">
        <v>2808</v>
      </c>
      <c r="C19" s="18">
        <f>(2474.0/B19*100)</f>
        <v/>
      </c>
      <c r="D19" s="19" t="n">
        <v>334</v>
      </c>
      <c r="E19" s="18" t="n">
        <v>44.9198528</v>
      </c>
      <c r="F19" s="20" t="n">
        <v>2.85329024</v>
      </c>
      <c r="G19" s="18" t="n">
        <v>52.79011778</v>
      </c>
      <c r="H19" s="20" t="n">
        <v>3.03139923</v>
      </c>
      <c r="I19" s="18" t="s">
        <v>349</v>
      </c>
      <c r="J19" s="20" t="s">
        <v>349</v>
      </c>
      <c r="K19" s="18" t="n">
        <v>0.7012265</v>
      </c>
      <c r="L19" s="20" t="n">
        <v>0.66088301</v>
      </c>
      <c r="M19" s="18" t="n">
        <v>0</v>
      </c>
      <c r="N19" s="20" t="n">
        <v>0</v>
      </c>
      <c r="O19" s="18" t="n">
        <v>0</v>
      </c>
      <c r="P19" s="20" t="n">
        <v>0</v>
      </c>
      <c r="Q19" s="18" t="n">
        <v>1.58880292</v>
      </c>
      <c r="R19" s="20" t="n">
        <v>0.78839937</v>
      </c>
    </row>
    <row r="20" spans="1:18">
      <c r="A20" s="15" t="s">
        <v>362</v>
      </c>
      <c r="B20" s="17" t="n">
        <v>1630</v>
      </c>
      <c r="C20" s="18">
        <f>(1422.0/B20*100)</f>
        <v/>
      </c>
      <c r="D20" s="19" t="n">
        <v>208</v>
      </c>
      <c r="E20" s="18" t="n">
        <v>41.40620014</v>
      </c>
      <c r="F20" s="20" t="n">
        <v>3.66097244</v>
      </c>
      <c r="G20" s="18" t="n">
        <v>54.72923216</v>
      </c>
      <c r="H20" s="20" t="n">
        <v>3.56556326</v>
      </c>
      <c r="I20" s="18" t="s">
        <v>349</v>
      </c>
      <c r="J20" s="20" t="s">
        <v>349</v>
      </c>
      <c r="K20" s="18" t="n">
        <v>0.98746196</v>
      </c>
      <c r="L20" s="20" t="n">
        <v>0.7334459</v>
      </c>
      <c r="M20" s="18" t="n">
        <v>0</v>
      </c>
      <c r="N20" s="20" t="n">
        <v>0</v>
      </c>
      <c r="O20" s="18" t="n">
        <v>0</v>
      </c>
      <c r="P20" s="20" t="n">
        <v>0</v>
      </c>
      <c r="Q20" s="18" t="n">
        <v>2.87710575</v>
      </c>
      <c r="R20" s="20" t="n">
        <v>1.17740922</v>
      </c>
    </row>
    <row r="21" spans="1:18">
      <c r="A21" s="15" t="s">
        <v>363</v>
      </c>
      <c r="B21" s="17" t="n">
        <v>2908</v>
      </c>
      <c r="C21" s="18">
        <f>(2437.0/B21*100)</f>
        <v/>
      </c>
      <c r="D21" s="19" t="n">
        <v>471</v>
      </c>
      <c r="E21" s="18" t="n">
        <v>34.12710459</v>
      </c>
      <c r="F21" s="20" t="n">
        <v>2.24097065</v>
      </c>
      <c r="G21" s="18" t="n">
        <v>64.82951149</v>
      </c>
      <c r="H21" s="20" t="n">
        <v>2.25394972</v>
      </c>
      <c r="I21" s="18" t="s">
        <v>349</v>
      </c>
      <c r="J21" s="20" t="s">
        <v>349</v>
      </c>
      <c r="K21" s="18" t="n">
        <v>0.16801986</v>
      </c>
      <c r="L21" s="20" t="n">
        <v>0.16855459</v>
      </c>
      <c r="M21" s="18" t="n">
        <v>0</v>
      </c>
      <c r="N21" s="20" t="n">
        <v>0</v>
      </c>
      <c r="O21" s="18" t="n">
        <v>0</v>
      </c>
      <c r="P21" s="20" t="n">
        <v>0</v>
      </c>
      <c r="Q21" s="18" t="n">
        <v>0.87536406</v>
      </c>
      <c r="R21" s="20" t="n">
        <v>0.42619954</v>
      </c>
    </row>
    <row r="22" spans="1:18">
      <c r="A22" s="15" t="s">
        <v>364</v>
      </c>
      <c r="B22" s="17" t="n">
        <v>2931</v>
      </c>
      <c r="C22" s="18">
        <f>(2576.0/B22*100)</f>
        <v/>
      </c>
      <c r="D22" s="19" t="n">
        <v>355</v>
      </c>
      <c r="E22" s="18" t="n">
        <v>54.38587917</v>
      </c>
      <c r="F22" s="20" t="n">
        <v>2.80472615</v>
      </c>
      <c r="G22" s="18" t="n">
        <v>37.3134879</v>
      </c>
      <c r="H22" s="20" t="n">
        <v>2.42363634</v>
      </c>
      <c r="I22" s="18" t="s">
        <v>349</v>
      </c>
      <c r="J22" s="20" t="s">
        <v>349</v>
      </c>
      <c r="K22" s="18" t="n">
        <v>0.22401026</v>
      </c>
      <c r="L22" s="20" t="n">
        <v>0.22344584</v>
      </c>
      <c r="M22" s="18" t="n">
        <v>0</v>
      </c>
      <c r="N22" s="20" t="n">
        <v>0</v>
      </c>
      <c r="O22" s="18" t="n">
        <v>0</v>
      </c>
      <c r="P22" s="20" t="n">
        <v>0</v>
      </c>
      <c r="Q22" s="18" t="n">
        <v>8.07662266</v>
      </c>
      <c r="R22" s="20" t="n">
        <v>1.55095568</v>
      </c>
    </row>
    <row r="23" spans="1:18">
      <c r="A23" s="15" t="s">
        <v>365</v>
      </c>
      <c r="B23" s="17" t="n">
        <v>5791</v>
      </c>
      <c r="C23" s="18">
        <f>(5100.0/B23*100)</f>
        <v/>
      </c>
      <c r="D23" s="19" t="n">
        <v>691</v>
      </c>
      <c r="E23" s="18" t="n">
        <v>46.10479542</v>
      </c>
      <c r="F23" s="20" t="n">
        <v>2.39826951</v>
      </c>
      <c r="G23" s="18" t="n">
        <v>52.03258907</v>
      </c>
      <c r="H23" s="20" t="n">
        <v>2.35968765</v>
      </c>
      <c r="I23" s="18" t="s">
        <v>349</v>
      </c>
      <c r="J23" s="20" t="s">
        <v>349</v>
      </c>
      <c r="K23" s="18" t="n">
        <v>0.35521656</v>
      </c>
      <c r="L23" s="20" t="n">
        <v>0.35536246</v>
      </c>
      <c r="M23" s="18" t="n">
        <v>0</v>
      </c>
      <c r="N23" s="20" t="n">
        <v>0</v>
      </c>
      <c r="O23" s="18" t="n">
        <v>0</v>
      </c>
      <c r="P23" s="20" t="n">
        <v>0</v>
      </c>
      <c r="Q23" s="18" t="n">
        <v>1.50739896</v>
      </c>
      <c r="R23" s="20" t="n">
        <v>0.71384804</v>
      </c>
    </row>
    <row r="24" spans="1:18">
      <c r="A24" s="15" t="s">
        <v>366</v>
      </c>
      <c r="B24" s="17" t="n">
        <v>3338</v>
      </c>
      <c r="C24" s="18">
        <f>(2933.0/B24*100)</f>
        <v/>
      </c>
      <c r="D24" s="19" t="n">
        <v>405</v>
      </c>
      <c r="E24" s="18" t="n">
        <v>41.42628636</v>
      </c>
      <c r="F24" s="20" t="n">
        <v>2.44588466</v>
      </c>
      <c r="G24" s="18" t="n">
        <v>57.12505046</v>
      </c>
      <c r="H24" s="20" t="n">
        <v>2.42673929</v>
      </c>
      <c r="I24" s="18" t="s">
        <v>349</v>
      </c>
      <c r="J24" s="20" t="s">
        <v>349</v>
      </c>
      <c r="K24" s="18" t="n">
        <v>0.25757992</v>
      </c>
      <c r="L24" s="20" t="n">
        <v>0.24825869</v>
      </c>
      <c r="M24" s="18" t="n">
        <v>0</v>
      </c>
      <c r="N24" s="20" t="n">
        <v>0</v>
      </c>
      <c r="O24" s="18" t="n">
        <v>0</v>
      </c>
      <c r="P24" s="20" t="n">
        <v>0</v>
      </c>
      <c r="Q24" s="18" t="n">
        <v>1.19108327</v>
      </c>
      <c r="R24" s="20" t="n">
        <v>0.52641857</v>
      </c>
    </row>
    <row r="25" spans="1:18">
      <c r="A25" s="15" t="s">
        <v>367</v>
      </c>
      <c r="B25" s="17" t="n">
        <v>2912</v>
      </c>
      <c r="C25" s="18">
        <f>(2547.0/B25*100)</f>
        <v/>
      </c>
      <c r="D25" s="19" t="n">
        <v>365</v>
      </c>
      <c r="E25" s="18" t="n">
        <v>37.44549018</v>
      </c>
      <c r="F25" s="20" t="n">
        <v>2.63305</v>
      </c>
      <c r="G25" s="18" t="n">
        <v>61.51252897</v>
      </c>
      <c r="H25" s="20" t="n">
        <v>2.75502081</v>
      </c>
      <c r="I25" s="18" t="s">
        <v>349</v>
      </c>
      <c r="J25" s="20" t="s">
        <v>349</v>
      </c>
      <c r="K25" s="18" t="n">
        <v>0.54099728</v>
      </c>
      <c r="L25" s="20" t="n">
        <v>0.38452429</v>
      </c>
      <c r="M25" s="18" t="n">
        <v>0</v>
      </c>
      <c r="N25" s="20" t="n">
        <v>0</v>
      </c>
      <c r="O25" s="18" t="n">
        <v>0</v>
      </c>
      <c r="P25" s="20" t="n">
        <v>0</v>
      </c>
      <c r="Q25" s="18" t="n">
        <v>0.50098357</v>
      </c>
      <c r="R25" s="20" t="n">
        <v>0.35295578</v>
      </c>
    </row>
    <row r="26" spans="1:18">
      <c r="A26" s="15" t="s">
        <v>368</v>
      </c>
      <c r="B26" s="17" t="n">
        <v>2450</v>
      </c>
      <c r="C26" s="18">
        <f>(2162.0/B26*100)</f>
        <v/>
      </c>
      <c r="D26" s="19" t="n">
        <v>288</v>
      </c>
      <c r="E26" s="18" t="n">
        <v>46.57405856</v>
      </c>
      <c r="F26" s="20" t="n">
        <v>2.91549315</v>
      </c>
      <c r="G26" s="18" t="n">
        <v>52.77379338</v>
      </c>
      <c r="H26" s="20" t="n">
        <v>2.93152315</v>
      </c>
      <c r="I26" s="18" t="s">
        <v>349</v>
      </c>
      <c r="J26" s="20" t="s">
        <v>349</v>
      </c>
      <c r="K26" s="18" t="n">
        <v>0</v>
      </c>
      <c r="L26" s="20" t="n">
        <v>0</v>
      </c>
      <c r="M26" s="18" t="n">
        <v>0</v>
      </c>
      <c r="N26" s="20" t="n">
        <v>0</v>
      </c>
      <c r="O26" s="18" t="n">
        <v>0</v>
      </c>
      <c r="P26" s="20" t="n">
        <v>0</v>
      </c>
      <c r="Q26" s="18" t="n">
        <v>0.65214807</v>
      </c>
      <c r="R26" s="20" t="n">
        <v>0.45602966</v>
      </c>
    </row>
    <row r="27" spans="1:18">
      <c r="A27" s="15" t="s">
        <v>369</v>
      </c>
      <c r="B27" s="17" t="n">
        <v>2616</v>
      </c>
      <c r="C27" s="18">
        <f>(2301.0/B27*100)</f>
        <v/>
      </c>
      <c r="D27" s="19" t="n">
        <v>315</v>
      </c>
      <c r="E27" s="18" t="n">
        <v>45.25773015</v>
      </c>
      <c r="F27" s="20" t="n">
        <v>2.97604314</v>
      </c>
      <c r="G27" s="18" t="n">
        <v>51.78406043</v>
      </c>
      <c r="H27" s="20" t="n">
        <v>3.0065316</v>
      </c>
      <c r="I27" s="18" t="s">
        <v>349</v>
      </c>
      <c r="J27" s="20" t="s">
        <v>349</v>
      </c>
      <c r="K27" s="18" t="n">
        <v>0.6477033800000001</v>
      </c>
      <c r="L27" s="20" t="n">
        <v>0.46052283</v>
      </c>
      <c r="M27" s="18" t="n">
        <v>0</v>
      </c>
      <c r="N27" s="20" t="n">
        <v>0</v>
      </c>
      <c r="O27" s="18" t="n">
        <v>0</v>
      </c>
      <c r="P27" s="20" t="n">
        <v>0</v>
      </c>
      <c r="Q27" s="18" t="n">
        <v>2.31050603</v>
      </c>
      <c r="R27" s="20" t="n">
        <v>0.87024238</v>
      </c>
    </row>
    <row r="28" spans="1:18">
      <c r="A28" s="15" t="s">
        <v>370</v>
      </c>
      <c r="B28" s="17" t="n">
        <v>3765</v>
      </c>
      <c r="C28" s="18">
        <f>(3328.0/B28*100)</f>
        <v/>
      </c>
      <c r="D28" s="19" t="n">
        <v>437</v>
      </c>
      <c r="E28" s="18" t="n">
        <v>62.38435114</v>
      </c>
      <c r="F28" s="20" t="n">
        <v>2.4626817</v>
      </c>
      <c r="G28" s="18" t="n">
        <v>36.41854311</v>
      </c>
      <c r="H28" s="20" t="n">
        <v>2.54582955</v>
      </c>
      <c r="I28" s="18" t="s">
        <v>349</v>
      </c>
      <c r="J28" s="20" t="s">
        <v>349</v>
      </c>
      <c r="K28" s="18" t="n">
        <v>0</v>
      </c>
      <c r="L28" s="20" t="n">
        <v>0</v>
      </c>
      <c r="M28" s="18" t="n">
        <v>0</v>
      </c>
      <c r="N28" s="20" t="n">
        <v>0</v>
      </c>
      <c r="O28" s="18" t="n">
        <v>0</v>
      </c>
      <c r="P28" s="20" t="n">
        <v>0</v>
      </c>
      <c r="Q28" s="18" t="n">
        <v>1.19710575</v>
      </c>
      <c r="R28" s="20" t="n">
        <v>0.48277354</v>
      </c>
    </row>
    <row r="29" spans="1:18">
      <c r="A29" s="15" t="s">
        <v>371</v>
      </c>
      <c r="B29" s="17" t="n">
        <v>2685</v>
      </c>
      <c r="C29" s="18">
        <f>(2355.0/B29*100)</f>
        <v/>
      </c>
      <c r="D29" s="19" t="n">
        <v>330</v>
      </c>
      <c r="E29" s="18" t="n">
        <v>53.07400435</v>
      </c>
      <c r="F29" s="20" t="n">
        <v>2.9148917</v>
      </c>
      <c r="G29" s="18" t="n">
        <v>45.2525738</v>
      </c>
      <c r="H29" s="20" t="n">
        <v>2.82041763</v>
      </c>
      <c r="I29" s="18" t="s">
        <v>349</v>
      </c>
      <c r="J29" s="20" t="s">
        <v>349</v>
      </c>
      <c r="K29" s="18" t="n">
        <v>0.74937177</v>
      </c>
      <c r="L29" s="20" t="n">
        <v>0.52047426</v>
      </c>
      <c r="M29" s="18" t="n">
        <v>0</v>
      </c>
      <c r="N29" s="20" t="n">
        <v>0</v>
      </c>
      <c r="O29" s="18" t="n">
        <v>0</v>
      </c>
      <c r="P29" s="20" t="n">
        <v>0</v>
      </c>
      <c r="Q29" s="18" t="n">
        <v>0.92405008</v>
      </c>
      <c r="R29" s="20" t="n">
        <v>0.52280885</v>
      </c>
    </row>
    <row r="30" spans="1:18">
      <c r="A30" s="15" t="s">
        <v>372</v>
      </c>
      <c r="B30" s="17" t="n">
        <v>2263</v>
      </c>
      <c r="C30" s="18">
        <f>(1990.0/B30*100)</f>
        <v/>
      </c>
      <c r="D30" s="19" t="n">
        <v>273</v>
      </c>
      <c r="E30" s="18" t="n">
        <v>39.93403356</v>
      </c>
      <c r="F30" s="20" t="n">
        <v>2.97419301</v>
      </c>
      <c r="G30" s="18" t="n">
        <v>57.65650475</v>
      </c>
      <c r="H30" s="20" t="n">
        <v>3.16499535</v>
      </c>
      <c r="I30" s="18" t="s">
        <v>349</v>
      </c>
      <c r="J30" s="20" t="s">
        <v>349</v>
      </c>
      <c r="K30" s="18" t="n">
        <v>0.22652691</v>
      </c>
      <c r="L30" s="20" t="n">
        <v>0.22826275</v>
      </c>
      <c r="M30" s="18" t="n">
        <v>0</v>
      </c>
      <c r="N30" s="20" t="n">
        <v>0</v>
      </c>
      <c r="O30" s="18" t="n">
        <v>0</v>
      </c>
      <c r="P30" s="20" t="n">
        <v>0</v>
      </c>
      <c r="Q30" s="18" t="n">
        <v>2.18293477</v>
      </c>
      <c r="R30" s="20" t="n">
        <v>0.88638893</v>
      </c>
    </row>
    <row r="31" spans="1:18">
      <c r="A31" s="15" t="s">
        <v>373</v>
      </c>
      <c r="B31" s="17" t="n">
        <v>2750</v>
      </c>
      <c r="C31" s="18">
        <f>(2392.0/B31*100)</f>
        <v/>
      </c>
      <c r="D31" s="19" t="n">
        <v>358</v>
      </c>
      <c r="E31" s="18" t="n">
        <v>39.70150064</v>
      </c>
      <c r="F31" s="20" t="n">
        <v>2.68392483</v>
      </c>
      <c r="G31" s="18" t="n">
        <v>56.61556796</v>
      </c>
      <c r="H31" s="20" t="n">
        <v>2.88748154</v>
      </c>
      <c r="I31" s="18" t="s">
        <v>349</v>
      </c>
      <c r="J31" s="20" t="s">
        <v>349</v>
      </c>
      <c r="K31" s="18" t="n">
        <v>0.54631504</v>
      </c>
      <c r="L31" s="20" t="n">
        <v>0.36998816</v>
      </c>
      <c r="M31" s="18" t="n">
        <v>0</v>
      </c>
      <c r="N31" s="20" t="n">
        <v>0</v>
      </c>
      <c r="O31" s="18" t="n">
        <v>0</v>
      </c>
      <c r="P31" s="20" t="n">
        <v>0</v>
      </c>
      <c r="Q31" s="18" t="n">
        <v>3.13661636</v>
      </c>
      <c r="R31" s="20" t="n">
        <v>0.93110396</v>
      </c>
    </row>
    <row r="32" spans="1:18">
      <c r="A32" s="15" t="s">
        <v>374</v>
      </c>
      <c r="B32" s="17" t="n">
        <v>2269</v>
      </c>
      <c r="C32" s="18">
        <f>(1901.0/B32*100)</f>
        <v/>
      </c>
      <c r="D32" s="19" t="n">
        <v>368</v>
      </c>
      <c r="E32" s="18" t="n">
        <v>49.59654962</v>
      </c>
      <c r="F32" s="20" t="n">
        <v>2.69893887</v>
      </c>
      <c r="G32" s="18" t="n">
        <v>49.60973992</v>
      </c>
      <c r="H32" s="20" t="n">
        <v>2.61292265</v>
      </c>
      <c r="I32" s="18" t="s">
        <v>349</v>
      </c>
      <c r="J32" s="20" t="s">
        <v>349</v>
      </c>
      <c r="K32" s="18" t="n">
        <v>0.24321453</v>
      </c>
      <c r="L32" s="20" t="n">
        <v>0.24437532</v>
      </c>
      <c r="M32" s="18" t="n">
        <v>0</v>
      </c>
      <c r="N32" s="20" t="n">
        <v>0</v>
      </c>
      <c r="O32" s="18" t="n">
        <v>0</v>
      </c>
      <c r="P32" s="20" t="n">
        <v>0</v>
      </c>
      <c r="Q32" s="18" t="n">
        <v>0.55049594</v>
      </c>
      <c r="R32" s="20" t="n">
        <v>0.40341206</v>
      </c>
    </row>
    <row r="33" spans="1:18">
      <c r="A33" s="15" t="s">
        <v>375</v>
      </c>
      <c r="B33" s="17" t="n">
        <v>3674</v>
      </c>
      <c r="C33" s="18">
        <f>(3208.0/B33*100)</f>
        <v/>
      </c>
      <c r="D33" s="19" t="n">
        <v>466</v>
      </c>
      <c r="E33" s="18" t="n">
        <v>51.66994924</v>
      </c>
      <c r="F33" s="20" t="n">
        <v>2.79343797</v>
      </c>
      <c r="G33" s="18" t="n">
        <v>46.84049025</v>
      </c>
      <c r="H33" s="20" t="n">
        <v>2.88593945</v>
      </c>
      <c r="I33" s="18" t="s">
        <v>349</v>
      </c>
      <c r="J33" s="20" t="s">
        <v>349</v>
      </c>
      <c r="K33" s="18" t="n">
        <v>0.82655807</v>
      </c>
      <c r="L33" s="20" t="n">
        <v>0.46121717</v>
      </c>
      <c r="M33" s="18" t="n">
        <v>0</v>
      </c>
      <c r="N33" s="20" t="n">
        <v>0</v>
      </c>
      <c r="O33" s="18" t="n">
        <v>0</v>
      </c>
      <c r="P33" s="20" t="n">
        <v>0</v>
      </c>
      <c r="Q33" s="18" t="n">
        <v>0.66300244</v>
      </c>
      <c r="R33" s="20" t="n">
        <v>0.45739391</v>
      </c>
    </row>
    <row r="34" spans="1:18">
      <c r="A34" s="15" t="s">
        <v>376</v>
      </c>
      <c r="B34" s="17" t="n">
        <v>3315</v>
      </c>
      <c r="C34" s="18">
        <f>(2905.0/B34*100)</f>
        <v/>
      </c>
      <c r="D34" s="19" t="n">
        <v>410</v>
      </c>
      <c r="E34" s="18" t="n">
        <v>58.89946941</v>
      </c>
      <c r="F34" s="20" t="n">
        <v>2.83269079</v>
      </c>
      <c r="G34" s="18" t="n">
        <v>39.78757417</v>
      </c>
      <c r="H34" s="20" t="n">
        <v>2.75776541</v>
      </c>
      <c r="I34" s="18" t="s">
        <v>349</v>
      </c>
      <c r="J34" s="20" t="s">
        <v>349</v>
      </c>
      <c r="K34" s="18" t="n">
        <v>0.36490324</v>
      </c>
      <c r="L34" s="20" t="n">
        <v>0.3606379</v>
      </c>
      <c r="M34" s="18" t="n">
        <v>0</v>
      </c>
      <c r="N34" s="20" t="n">
        <v>0</v>
      </c>
      <c r="O34" s="18" t="n">
        <v>0</v>
      </c>
      <c r="P34" s="20" t="n">
        <v>0</v>
      </c>
      <c r="Q34" s="18" t="n">
        <v>0.9480531800000001</v>
      </c>
      <c r="R34" s="20" t="n">
        <v>0.49392656</v>
      </c>
    </row>
    <row r="35" spans="1:18">
      <c r="A35" s="15" t="s">
        <v>377</v>
      </c>
      <c r="B35" s="17" t="n">
        <v>3505</v>
      </c>
      <c r="C35" s="18">
        <f>(3092.0/B35*100)</f>
        <v/>
      </c>
      <c r="D35" s="19" t="n">
        <v>413</v>
      </c>
      <c r="E35" s="18" t="n">
        <v>41.85093028</v>
      </c>
      <c r="F35" s="20" t="n">
        <v>3.19680341</v>
      </c>
      <c r="G35" s="18" t="n">
        <v>57.13726921</v>
      </c>
      <c r="H35" s="20" t="n">
        <v>3.15102818</v>
      </c>
      <c r="I35" s="18" t="s">
        <v>349</v>
      </c>
      <c r="J35" s="20" t="s">
        <v>349</v>
      </c>
      <c r="K35" s="18" t="n">
        <v>0</v>
      </c>
      <c r="L35" s="20" t="n">
        <v>0</v>
      </c>
      <c r="M35" s="18" t="n">
        <v>0</v>
      </c>
      <c r="N35" s="20" t="n">
        <v>0</v>
      </c>
      <c r="O35" s="18" t="n">
        <v>0</v>
      </c>
      <c r="P35" s="20" t="n">
        <v>0</v>
      </c>
      <c r="Q35" s="18" t="n">
        <v>1.01180051</v>
      </c>
      <c r="R35" s="20" t="n">
        <v>0.44134192</v>
      </c>
    </row>
    <row r="36" spans="1:18">
      <c r="A36" s="15" t="s">
        <v>378</v>
      </c>
      <c r="B36" s="17" t="n">
        <v>3332</v>
      </c>
      <c r="C36" s="18">
        <f>(2923.0/B36*100)</f>
        <v/>
      </c>
      <c r="D36" s="19" t="n">
        <v>409</v>
      </c>
      <c r="E36" s="18" t="n">
        <v>44.40879256</v>
      </c>
      <c r="F36" s="20" t="n">
        <v>2.33203129</v>
      </c>
      <c r="G36" s="18" t="n">
        <v>52.40492743</v>
      </c>
      <c r="H36" s="20" t="n">
        <v>2.57782921</v>
      </c>
      <c r="I36" s="18" t="s">
        <v>349</v>
      </c>
      <c r="J36" s="20" t="s">
        <v>349</v>
      </c>
      <c r="K36" s="18" t="n">
        <v>0.59005568</v>
      </c>
      <c r="L36" s="20" t="n">
        <v>0.48180385</v>
      </c>
      <c r="M36" s="18" t="n">
        <v>0</v>
      </c>
      <c r="N36" s="20" t="n">
        <v>0</v>
      </c>
      <c r="O36" s="18" t="n">
        <v>0</v>
      </c>
      <c r="P36" s="20" t="n">
        <v>0</v>
      </c>
      <c r="Q36" s="18" t="n">
        <v>2.59622432</v>
      </c>
      <c r="R36" s="20" t="n">
        <v>0.85493204</v>
      </c>
    </row>
    <row r="37" spans="1:18">
      <c r="A37" s="15" t="s">
        <v>379</v>
      </c>
      <c r="B37" s="17" t="n">
        <v>2727</v>
      </c>
      <c r="C37" s="18">
        <f>(2420.0/B37*100)</f>
        <v/>
      </c>
      <c r="D37" s="19" t="n">
        <v>307</v>
      </c>
      <c r="E37" s="18" t="n">
        <v>35.70170552</v>
      </c>
      <c r="F37" s="20" t="n">
        <v>2.87273632</v>
      </c>
      <c r="G37" s="18" t="n">
        <v>58.28011948</v>
      </c>
      <c r="H37" s="20" t="n">
        <v>3.48597009</v>
      </c>
      <c r="I37" s="18" t="s">
        <v>349</v>
      </c>
      <c r="J37" s="20" t="s">
        <v>349</v>
      </c>
      <c r="K37" s="18" t="n">
        <v>1.32048863</v>
      </c>
      <c r="L37" s="20" t="n">
        <v>0.75095195</v>
      </c>
      <c r="M37" s="18" t="n">
        <v>0</v>
      </c>
      <c r="N37" s="20" t="n">
        <v>0</v>
      </c>
      <c r="O37" s="18" t="n">
        <v>0</v>
      </c>
      <c r="P37" s="20" t="n">
        <v>0</v>
      </c>
      <c r="Q37" s="18" t="n">
        <v>4.69768637</v>
      </c>
      <c r="R37" s="20" t="n">
        <v>1.51030147</v>
      </c>
    </row>
    <row r="38" spans="1:18">
      <c r="A38" s="15" t="s">
        <v>380</v>
      </c>
      <c r="B38" s="17" t="n">
        <v>3053</v>
      </c>
      <c r="C38" s="18">
        <f>(2555.0/B38*100)</f>
        <v/>
      </c>
      <c r="D38" s="19" t="n">
        <v>498</v>
      </c>
      <c r="E38" s="18" t="n">
        <v>40.37833216</v>
      </c>
      <c r="F38" s="20" t="n">
        <v>2.8731605</v>
      </c>
      <c r="G38" s="18" t="n">
        <v>57.23385415</v>
      </c>
      <c r="H38" s="20" t="n">
        <v>2.84266156</v>
      </c>
      <c r="I38" s="18" t="s">
        <v>349</v>
      </c>
      <c r="J38" s="20" t="s">
        <v>349</v>
      </c>
      <c r="K38" s="18" t="n">
        <v>0.46883796</v>
      </c>
      <c r="L38" s="20" t="n">
        <v>0.32084899</v>
      </c>
      <c r="M38" s="18" t="n">
        <v>0</v>
      </c>
      <c r="N38" s="20" t="n">
        <v>0</v>
      </c>
      <c r="O38" s="18" t="n">
        <v>0</v>
      </c>
      <c r="P38" s="20" t="n">
        <v>0</v>
      </c>
      <c r="Q38" s="18" t="n">
        <v>1.91897573</v>
      </c>
      <c r="R38" s="20" t="n">
        <v>0.49932824</v>
      </c>
    </row>
    <row r="39" spans="1:18">
      <c r="A39" s="15" t="s">
        <v>381</v>
      </c>
      <c r="B39" s="17" t="n">
        <v>2957</v>
      </c>
      <c r="C39" s="18">
        <f>(2593.0/B39*100)</f>
        <v/>
      </c>
      <c r="D39" s="19" t="n">
        <v>364</v>
      </c>
      <c r="E39" s="18" t="n">
        <v>60.3407838</v>
      </c>
      <c r="F39" s="20" t="n">
        <v>2.95231089</v>
      </c>
      <c r="G39" s="18" t="n">
        <v>36.90616216</v>
      </c>
      <c r="H39" s="20" t="n">
        <v>2.90933152</v>
      </c>
      <c r="I39" s="18" t="s">
        <v>349</v>
      </c>
      <c r="J39" s="20" t="s">
        <v>349</v>
      </c>
      <c r="K39" s="18" t="n">
        <v>0</v>
      </c>
      <c r="L39" s="20" t="n">
        <v>0</v>
      </c>
      <c r="M39" s="18" t="n">
        <v>0</v>
      </c>
      <c r="N39" s="20" t="n">
        <v>0</v>
      </c>
      <c r="O39" s="18" t="n">
        <v>0</v>
      </c>
      <c r="P39" s="20" t="n">
        <v>0</v>
      </c>
      <c r="Q39" s="18" t="n">
        <v>2.75305405</v>
      </c>
      <c r="R39" s="20" t="n">
        <v>0.80564085</v>
      </c>
    </row>
    <row r="40" spans="1:18">
      <c r="A40" s="15" t="s">
        <v>382</v>
      </c>
      <c r="B40" s="17" t="n">
        <v>7235</v>
      </c>
      <c r="C40" s="18">
        <f>(6327.0/B40*100)</f>
        <v/>
      </c>
      <c r="D40" s="19" t="n">
        <v>908</v>
      </c>
      <c r="E40" s="18" t="n">
        <v>39.43844846</v>
      </c>
      <c r="F40" s="20" t="n">
        <v>2.5860448</v>
      </c>
      <c r="G40" s="18" t="n">
        <v>57.93604263</v>
      </c>
      <c r="H40" s="20" t="n">
        <v>2.41356978</v>
      </c>
      <c r="I40" s="18" t="s">
        <v>349</v>
      </c>
      <c r="J40" s="20" t="s">
        <v>349</v>
      </c>
      <c r="K40" s="18" t="n">
        <v>0.57309997</v>
      </c>
      <c r="L40" s="20" t="n">
        <v>0.51560414</v>
      </c>
      <c r="M40" s="18" t="n">
        <v>0</v>
      </c>
      <c r="N40" s="20" t="n">
        <v>0</v>
      </c>
      <c r="O40" s="18" t="n">
        <v>0</v>
      </c>
      <c r="P40" s="20" t="n">
        <v>0</v>
      </c>
      <c r="Q40" s="18" t="n">
        <v>2.05240894</v>
      </c>
      <c r="R40" s="20" t="n">
        <v>0.85078586</v>
      </c>
    </row>
    <row r="41" spans="1:18">
      <c r="A41" s="15" t="s">
        <v>383</v>
      </c>
      <c r="B41" s="17" t="n">
        <v>2858</v>
      </c>
      <c r="C41" s="18">
        <f>(2534.0/B41*100)</f>
        <v/>
      </c>
      <c r="D41" s="19" t="n">
        <v>324</v>
      </c>
      <c r="E41" s="18" t="n">
        <v>52.19120639</v>
      </c>
      <c r="F41" s="20" t="n">
        <v>3.32903263</v>
      </c>
      <c r="G41" s="18" t="n">
        <v>46.91060331</v>
      </c>
      <c r="H41" s="20" t="n">
        <v>3.30347103</v>
      </c>
      <c r="I41" s="18" t="s">
        <v>349</v>
      </c>
      <c r="J41" s="20" t="s">
        <v>349</v>
      </c>
      <c r="K41" s="18" t="n">
        <v>0.28607637</v>
      </c>
      <c r="L41" s="20" t="n">
        <v>0.27802975</v>
      </c>
      <c r="M41" s="18" t="n">
        <v>0</v>
      </c>
      <c r="N41" s="20" t="n">
        <v>0</v>
      </c>
      <c r="O41" s="18" t="n">
        <v>0</v>
      </c>
      <c r="P41" s="20" t="n">
        <v>0</v>
      </c>
      <c r="Q41" s="18" t="n">
        <v>0.61211394</v>
      </c>
      <c r="R41" s="20" t="n">
        <v>0.42173287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(9846.0/B46*100)</f>
        <v/>
      </c>
      <c r="D46" s="19" t="n">
        <v>1222</v>
      </c>
      <c r="E46" s="18" t="n">
        <v>61.74733797</v>
      </c>
      <c r="F46" s="20" t="n">
        <v>1.59959331</v>
      </c>
      <c r="G46" s="18" t="n">
        <v>33.78778725</v>
      </c>
      <c r="H46" s="20" t="n">
        <v>1.71053445</v>
      </c>
      <c r="I46" s="18" t="s">
        <v>349</v>
      </c>
      <c r="J46" s="20" t="s">
        <v>349</v>
      </c>
      <c r="K46" s="18" t="n">
        <v>0.72772741</v>
      </c>
      <c r="L46" s="20" t="n">
        <v>0.3150132</v>
      </c>
      <c r="M46" s="18" t="n">
        <v>0</v>
      </c>
      <c r="N46" s="20" t="n">
        <v>0</v>
      </c>
      <c r="O46" s="18" t="n">
        <v>0</v>
      </c>
      <c r="P46" s="20" t="n">
        <v>0</v>
      </c>
      <c r="Q46" s="18" t="n">
        <v>3.73714736</v>
      </c>
      <c r="R46" s="20" t="n">
        <v>0.76464391</v>
      </c>
    </row>
    <row r="47" spans="1:18">
      <c r="A47" s="15" t="s">
        <v>389</v>
      </c>
      <c r="B47" s="17" t="n">
        <v>3105</v>
      </c>
      <c r="C47" s="18">
        <f>(2730.0/B47*100)</f>
        <v/>
      </c>
      <c r="D47" s="19" t="n">
        <v>375</v>
      </c>
      <c r="E47" s="18" t="n">
        <v>57.36688636</v>
      </c>
      <c r="F47" s="20" t="n">
        <v>2.75874388</v>
      </c>
      <c r="G47" s="18" t="n">
        <v>38.57238481</v>
      </c>
      <c r="H47" s="20" t="n">
        <v>2.69656031</v>
      </c>
      <c r="I47" s="18" t="s">
        <v>349</v>
      </c>
      <c r="J47" s="20" t="s">
        <v>349</v>
      </c>
      <c r="K47" s="18" t="n">
        <v>0.77433624</v>
      </c>
      <c r="L47" s="20" t="n">
        <v>0.44624575</v>
      </c>
      <c r="M47" s="18" t="n">
        <v>0</v>
      </c>
      <c r="N47" s="20" t="n">
        <v>0</v>
      </c>
      <c r="O47" s="18" t="n">
        <v>0</v>
      </c>
      <c r="P47" s="20" t="n">
        <v>0</v>
      </c>
      <c r="Q47" s="18" t="n">
        <v>3.28639259</v>
      </c>
      <c r="R47" s="20" t="n">
        <v>1.15508536</v>
      </c>
    </row>
    <row r="48" spans="1:18">
      <c r="A48" s="15" t="s">
        <v>390</v>
      </c>
      <c r="B48" s="17" t="n">
        <v>5159</v>
      </c>
      <c r="C48" s="18">
        <f>(4501.0/B48*100)</f>
        <v/>
      </c>
      <c r="D48" s="19" t="n">
        <v>658</v>
      </c>
      <c r="E48" s="18" t="n">
        <v>40.11530288</v>
      </c>
      <c r="F48" s="20" t="n">
        <v>2.55079848</v>
      </c>
      <c r="G48" s="18" t="n">
        <v>58.93036855</v>
      </c>
      <c r="H48" s="20" t="n">
        <v>2.52896133</v>
      </c>
      <c r="I48" s="18" t="s">
        <v>349</v>
      </c>
      <c r="J48" s="20" t="s">
        <v>349</v>
      </c>
      <c r="K48" s="18" t="n">
        <v>0.28666618</v>
      </c>
      <c r="L48" s="20" t="n">
        <v>0.21359002</v>
      </c>
      <c r="M48" s="18" t="n">
        <v>0</v>
      </c>
      <c r="N48" s="20" t="n">
        <v>0</v>
      </c>
      <c r="O48" s="18" t="n">
        <v>0</v>
      </c>
      <c r="P48" s="20" t="n">
        <v>0</v>
      </c>
      <c r="Q48" s="18" t="n">
        <v>0.66766239</v>
      </c>
      <c r="R48" s="20" t="n">
        <v>0.38250443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(4962.0/B50*100)</f>
        <v/>
      </c>
      <c r="D50" s="19" t="n">
        <v>675</v>
      </c>
      <c r="E50" s="18" t="n">
        <v>74.86554198</v>
      </c>
      <c r="F50" s="20" t="n">
        <v>1.86446362</v>
      </c>
      <c r="G50" s="18" t="n">
        <v>22.18660678</v>
      </c>
      <c r="H50" s="20" t="n">
        <v>1.9359697</v>
      </c>
      <c r="I50" s="18" t="s">
        <v>349</v>
      </c>
      <c r="J50" s="20" t="s">
        <v>349</v>
      </c>
      <c r="K50" s="18" t="n">
        <v>0.40064711</v>
      </c>
      <c r="L50" s="20" t="n">
        <v>0.27341683</v>
      </c>
      <c r="M50" s="18" t="n">
        <v>0</v>
      </c>
      <c r="N50" s="20" t="n">
        <v>0</v>
      </c>
      <c r="O50" s="18" t="n">
        <v>0</v>
      </c>
      <c r="P50" s="20" t="n">
        <v>0</v>
      </c>
      <c r="Q50" s="18" t="n">
        <v>2.54720412</v>
      </c>
      <c r="R50" s="20" t="n">
        <v>0.99360202</v>
      </c>
    </row>
    <row r="51" spans="1:18">
      <c r="A51" s="15" t="s">
        <v>393</v>
      </c>
      <c r="B51" s="17" t="n">
        <v>3372</v>
      </c>
      <c r="C51" s="18">
        <f>(3028.0/B51*100)</f>
        <v/>
      </c>
      <c r="D51" s="19" t="n">
        <v>344</v>
      </c>
      <c r="E51" s="18" t="n">
        <v>63.48205657</v>
      </c>
      <c r="F51" s="20" t="n">
        <v>2.79123492</v>
      </c>
      <c r="G51" s="18" t="n">
        <v>34.80558973</v>
      </c>
      <c r="H51" s="20" t="n">
        <v>2.77360465</v>
      </c>
      <c r="I51" s="18" t="s">
        <v>349</v>
      </c>
      <c r="J51" s="20" t="s">
        <v>349</v>
      </c>
      <c r="K51" s="18" t="n">
        <v>0.39484637</v>
      </c>
      <c r="L51" s="20" t="n">
        <v>0.39232487</v>
      </c>
      <c r="M51" s="18" t="n">
        <v>0</v>
      </c>
      <c r="N51" s="20" t="n">
        <v>0</v>
      </c>
      <c r="O51" s="18" t="n">
        <v>0</v>
      </c>
      <c r="P51" s="20" t="n">
        <v>0</v>
      </c>
      <c r="Q51" s="18" t="n">
        <v>1.31750733</v>
      </c>
      <c r="R51" s="20" t="n">
        <v>0.6087382</v>
      </c>
    </row>
    <row r="52" spans="1:18">
      <c r="A52" s="15" t="s">
        <v>394</v>
      </c>
      <c r="B52" s="17" t="n">
        <v>2796</v>
      </c>
      <c r="C52" s="18">
        <f>(2448.0/B52*100)</f>
        <v/>
      </c>
      <c r="D52" s="19" t="n">
        <v>348</v>
      </c>
      <c r="E52" s="18" t="n">
        <v>42.50880551</v>
      </c>
      <c r="F52" s="20" t="n">
        <v>2.26146473</v>
      </c>
      <c r="G52" s="18" t="n">
        <v>54.29210778</v>
      </c>
      <c r="H52" s="20" t="n">
        <v>2.33318216</v>
      </c>
      <c r="I52" s="18" t="s">
        <v>349</v>
      </c>
      <c r="J52" s="20" t="s">
        <v>349</v>
      </c>
      <c r="K52" s="18" t="n">
        <v>0</v>
      </c>
      <c r="L52" s="20" t="n">
        <v>0</v>
      </c>
      <c r="M52" s="18" t="n">
        <v>0</v>
      </c>
      <c r="N52" s="20" t="n">
        <v>0</v>
      </c>
      <c r="O52" s="18" t="n">
        <v>0</v>
      </c>
      <c r="P52" s="20" t="n">
        <v>0</v>
      </c>
      <c r="Q52" s="18" t="n">
        <v>3.19908671</v>
      </c>
      <c r="R52" s="20" t="n">
        <v>1.10814805</v>
      </c>
    </row>
    <row r="53" spans="1:18">
      <c r="A53" s="15" t="s">
        <v>395</v>
      </c>
      <c r="B53" s="17" t="n">
        <v>2811</v>
      </c>
      <c r="C53" s="18">
        <f>(2450.0/B53*100)</f>
        <v/>
      </c>
      <c r="D53" s="19" t="n">
        <v>361</v>
      </c>
      <c r="E53" s="18" t="n">
        <v>66.06810982</v>
      </c>
      <c r="F53" s="20" t="n">
        <v>2.47993889</v>
      </c>
      <c r="G53" s="18" t="n">
        <v>31.10102891</v>
      </c>
      <c r="H53" s="20" t="n">
        <v>2.38522581</v>
      </c>
      <c r="I53" s="18" t="s">
        <v>349</v>
      </c>
      <c r="J53" s="20" t="s">
        <v>349</v>
      </c>
      <c r="K53" s="18" t="n">
        <v>0.87873846</v>
      </c>
      <c r="L53" s="20" t="n">
        <v>0.44060037</v>
      </c>
      <c r="M53" s="18" t="n">
        <v>0</v>
      </c>
      <c r="N53" s="20" t="n">
        <v>0</v>
      </c>
      <c r="O53" s="18" t="n">
        <v>0</v>
      </c>
      <c r="P53" s="20" t="n">
        <v>0</v>
      </c>
      <c r="Q53" s="18" t="n">
        <v>1.9521228</v>
      </c>
      <c r="R53" s="20" t="n">
        <v>0.64372091</v>
      </c>
    </row>
    <row r="54" spans="1:18">
      <c r="A54" s="15" t="s">
        <v>396</v>
      </c>
      <c r="B54" s="17" t="n">
        <v>2266</v>
      </c>
      <c r="C54" s="18">
        <f>(1863.0/B54*100)</f>
        <v/>
      </c>
      <c r="D54" s="19" t="n">
        <v>403</v>
      </c>
      <c r="E54" s="18" t="n">
        <v>72.53169556</v>
      </c>
      <c r="F54" s="20" t="n">
        <v>1.89368536</v>
      </c>
      <c r="G54" s="18" t="n">
        <v>15.53331116</v>
      </c>
      <c r="H54" s="20" t="n">
        <v>1.78702068</v>
      </c>
      <c r="I54" s="18" t="s">
        <v>349</v>
      </c>
      <c r="J54" s="20" t="s">
        <v>349</v>
      </c>
      <c r="K54" s="18" t="n">
        <v>5.16133403</v>
      </c>
      <c r="L54" s="20" t="n">
        <v>1.23680714</v>
      </c>
      <c r="M54" s="18" t="n">
        <v>0</v>
      </c>
      <c r="N54" s="20" t="n">
        <v>0</v>
      </c>
      <c r="O54" s="18" t="n">
        <v>0</v>
      </c>
      <c r="P54" s="20" t="n">
        <v>0</v>
      </c>
      <c r="Q54" s="18" t="n">
        <v>6.77365924</v>
      </c>
      <c r="R54" s="20" t="n">
        <v>1.45531879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(2357.0/B56*100)</f>
        <v/>
      </c>
      <c r="D56" s="19" t="n">
        <v>327</v>
      </c>
      <c r="E56" s="18" t="n">
        <v>42.44343895</v>
      </c>
      <c r="F56" s="20" t="n">
        <v>2.7442829</v>
      </c>
      <c r="G56" s="18" t="n">
        <v>55.67100532</v>
      </c>
      <c r="H56" s="20" t="n">
        <v>2.76941373</v>
      </c>
      <c r="I56" s="18" t="s">
        <v>349</v>
      </c>
      <c r="J56" s="20" t="s">
        <v>349</v>
      </c>
      <c r="K56" s="18" t="n">
        <v>0.24849671</v>
      </c>
      <c r="L56" s="20" t="n">
        <v>0.25403304</v>
      </c>
      <c r="M56" s="18" t="n">
        <v>0</v>
      </c>
      <c r="N56" s="20" t="n">
        <v>0</v>
      </c>
      <c r="O56" s="18" t="n">
        <v>0</v>
      </c>
      <c r="P56" s="20" t="n">
        <v>0</v>
      </c>
      <c r="Q56" s="18" t="n">
        <v>1.63705901</v>
      </c>
      <c r="R56" s="20" t="n">
        <v>0.68312168</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(2896.0/B61*100)</f>
        <v/>
      </c>
      <c r="D61" s="19" t="n">
        <v>428</v>
      </c>
      <c r="E61" s="18" t="n">
        <v>54.86465261</v>
      </c>
      <c r="F61" s="20" t="n">
        <v>2.31551356</v>
      </c>
      <c r="G61" s="18" t="n">
        <v>43.90766737</v>
      </c>
      <c r="H61" s="20" t="n">
        <v>2.37049134</v>
      </c>
      <c r="I61" s="18" t="s">
        <v>349</v>
      </c>
      <c r="J61" s="20" t="s">
        <v>349</v>
      </c>
      <c r="K61" s="18" t="n">
        <v>0</v>
      </c>
      <c r="L61" s="20" t="n">
        <v>0</v>
      </c>
      <c r="M61" s="18" t="n">
        <v>0</v>
      </c>
      <c r="N61" s="20" t="n">
        <v>0</v>
      </c>
      <c r="O61" s="18" t="n">
        <v>0</v>
      </c>
      <c r="P61" s="20" t="n">
        <v>0</v>
      </c>
      <c r="Q61" s="18" t="n">
        <v>1.22768003</v>
      </c>
      <c r="R61" s="20" t="n">
        <v>0.54986382</v>
      </c>
    </row>
    <row r="62" spans="1:18">
      <c r="A62" s="15" t="s">
        <v>404</v>
      </c>
      <c r="B62" s="17" t="n">
        <v>2246</v>
      </c>
      <c r="C62" s="18">
        <f>(1978.0/B62*100)</f>
        <v/>
      </c>
      <c r="D62" s="19" t="n">
        <v>268</v>
      </c>
      <c r="E62" s="18" t="n">
        <v>36.9235809</v>
      </c>
      <c r="F62" s="20" t="n">
        <v>3.31531073</v>
      </c>
      <c r="G62" s="18" t="n">
        <v>63.0764191</v>
      </c>
      <c r="H62" s="20" t="n">
        <v>3.31531073</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(2531.0/B66*100)</f>
        <v/>
      </c>
      <c r="D66" s="19" t="n">
        <v>363</v>
      </c>
      <c r="E66" s="18" t="n">
        <v>60.54930492</v>
      </c>
      <c r="F66" s="20" t="n">
        <v>2.24921967</v>
      </c>
      <c r="G66" s="18" t="n">
        <v>30.99879167</v>
      </c>
      <c r="H66" s="20" t="n">
        <v>2.13523539</v>
      </c>
      <c r="I66" s="18" t="s">
        <v>349</v>
      </c>
      <c r="J66" s="20" t="s">
        <v>349</v>
      </c>
      <c r="K66" s="18" t="n">
        <v>1.19057608</v>
      </c>
      <c r="L66" s="20" t="n">
        <v>0.58544255</v>
      </c>
      <c r="M66" s="18" t="n">
        <v>0</v>
      </c>
      <c r="N66" s="20" t="n">
        <v>0</v>
      </c>
      <c r="O66" s="18" t="n">
        <v>0</v>
      </c>
      <c r="P66" s="20" t="n">
        <v>0</v>
      </c>
      <c r="Q66" s="18" t="n">
        <v>7.26132733</v>
      </c>
      <c r="R66" s="20" t="n">
        <v>1.34523963</v>
      </c>
    </row>
    <row r="67" spans="1:18">
      <c r="A67" s="15" t="s">
        <v>409</v>
      </c>
      <c r="B67" s="17" t="n">
        <v>3511</v>
      </c>
      <c r="C67" s="18">
        <f>(3101.0/B67*100)</f>
        <v/>
      </c>
      <c r="D67" s="19" t="n">
        <v>410</v>
      </c>
      <c r="E67" s="18" t="n">
        <v>73.18723872</v>
      </c>
      <c r="F67" s="20" t="n">
        <v>2.12029819</v>
      </c>
      <c r="G67" s="18" t="n">
        <v>24.93405005</v>
      </c>
      <c r="H67" s="20" t="n">
        <v>1.97891882</v>
      </c>
      <c r="I67" s="18" t="s">
        <v>349</v>
      </c>
      <c r="J67" s="20" t="s">
        <v>349</v>
      </c>
      <c r="K67" s="18" t="n">
        <v>0</v>
      </c>
      <c r="L67" s="20" t="n">
        <v>0</v>
      </c>
      <c r="M67" s="18" t="n">
        <v>0</v>
      </c>
      <c r="N67" s="20" t="n">
        <v>0</v>
      </c>
      <c r="O67" s="18" t="n">
        <v>0</v>
      </c>
      <c r="P67" s="20" t="n">
        <v>0</v>
      </c>
      <c r="Q67" s="18" t="n">
        <v>1.87871124</v>
      </c>
      <c r="R67" s="20" t="n">
        <v>0.65988023</v>
      </c>
    </row>
    <row r="68" spans="1:18">
      <c r="A68" s="15" t="s">
        <v>410</v>
      </c>
      <c r="B68" s="17" t="n">
        <v>6049</v>
      </c>
      <c r="C68" s="18">
        <f>(5042.0/B68*100)</f>
        <v/>
      </c>
      <c r="D68" s="19" t="n">
        <v>1007</v>
      </c>
      <c r="E68" s="18" t="n">
        <v>62.91587921</v>
      </c>
      <c r="F68" s="20" t="n">
        <v>1.54136612</v>
      </c>
      <c r="G68" s="18" t="n">
        <v>26.72596401</v>
      </c>
      <c r="H68" s="20" t="n">
        <v>1.30162925</v>
      </c>
      <c r="I68" s="18" t="s">
        <v>349</v>
      </c>
      <c r="J68" s="20" t="s">
        <v>349</v>
      </c>
      <c r="K68" s="18" t="n">
        <v>3.14624532</v>
      </c>
      <c r="L68" s="20" t="n">
        <v>0.51263934</v>
      </c>
      <c r="M68" s="18" t="n">
        <v>0</v>
      </c>
      <c r="N68" s="20" t="n">
        <v>0</v>
      </c>
      <c r="O68" s="18" t="n">
        <v>0</v>
      </c>
      <c r="P68" s="20" t="n">
        <v>0</v>
      </c>
      <c r="Q68" s="18" t="n">
        <v>7.21191147</v>
      </c>
      <c r="R68" s="20" t="n">
        <v>0.81411472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(2576.0/B70*100)</f>
        <v/>
      </c>
      <c r="D70" s="19" t="n">
        <v>353</v>
      </c>
      <c r="E70" s="18" t="n">
        <v>44.77602768</v>
      </c>
      <c r="F70" s="20" t="n">
        <v>2.61902775</v>
      </c>
      <c r="G70" s="18" t="n">
        <v>53.11778844</v>
      </c>
      <c r="H70" s="20" t="n">
        <v>2.85732271</v>
      </c>
      <c r="I70" s="18" t="s">
        <v>349</v>
      </c>
      <c r="J70" s="20" t="s">
        <v>349</v>
      </c>
      <c r="K70" s="18" t="n">
        <v>0.18372276</v>
      </c>
      <c r="L70" s="20" t="n">
        <v>0.18336176</v>
      </c>
      <c r="M70" s="18" t="n">
        <v>0</v>
      </c>
      <c r="N70" s="20" t="n">
        <v>0</v>
      </c>
      <c r="O70" s="18" t="n">
        <v>0</v>
      </c>
      <c r="P70" s="20" t="n">
        <v>0</v>
      </c>
      <c r="Q70" s="18" t="n">
        <v>1.92246112</v>
      </c>
      <c r="R70" s="20" t="n">
        <v>0.9178177199999999</v>
      </c>
    </row>
    <row r="71" spans="1:18">
      <c r="A71" s="15" t="s">
        <v>413</v>
      </c>
      <c r="B71" s="17" t="n">
        <v>3142</v>
      </c>
      <c r="C71" s="18">
        <f>(2753.0/B71*100)</f>
        <v/>
      </c>
      <c r="D71" s="19" t="n">
        <v>389</v>
      </c>
      <c r="E71" s="18" t="n">
        <v>42.13580759</v>
      </c>
      <c r="F71" s="20" t="n">
        <v>2.66977058</v>
      </c>
      <c r="G71" s="18" t="n">
        <v>56.68373525</v>
      </c>
      <c r="H71" s="20" t="n">
        <v>2.71153065</v>
      </c>
      <c r="I71" s="18" t="s">
        <v>349</v>
      </c>
      <c r="J71" s="20" t="s">
        <v>349</v>
      </c>
      <c r="K71" s="18" t="n">
        <v>0.30672995</v>
      </c>
      <c r="L71" s="20" t="n">
        <v>0.21109813</v>
      </c>
      <c r="M71" s="18" t="n">
        <v>0</v>
      </c>
      <c r="N71" s="20" t="n">
        <v>0</v>
      </c>
      <c r="O71" s="18" t="n">
        <v>0</v>
      </c>
      <c r="P71" s="20" t="n">
        <v>0</v>
      </c>
      <c r="Q71" s="18" t="n">
        <v>0.8737272</v>
      </c>
      <c r="R71" s="20" t="n">
        <v>0.4379639</v>
      </c>
    </row>
    <row r="72" spans="1:18">
      <c r="A72" s="15" t="s">
        <v>414</v>
      </c>
      <c r="B72" s="17" t="n">
        <v>3889</v>
      </c>
      <c r="C72" s="18">
        <f>(3422.0/B72*100)</f>
        <v/>
      </c>
      <c r="D72" s="19" t="n">
        <v>467</v>
      </c>
      <c r="E72" s="18" t="n">
        <v>36.15476767</v>
      </c>
      <c r="F72" s="20" t="n">
        <v>2.39462794</v>
      </c>
      <c r="G72" s="18" t="n">
        <v>63.10408388</v>
      </c>
      <c r="H72" s="20" t="n">
        <v>2.42827521</v>
      </c>
      <c r="I72" s="18" t="s">
        <v>349</v>
      </c>
      <c r="J72" s="20" t="s">
        <v>349</v>
      </c>
      <c r="K72" s="18" t="n">
        <v>0</v>
      </c>
      <c r="L72" s="20" t="n">
        <v>0</v>
      </c>
      <c r="M72" s="18" t="n">
        <v>0</v>
      </c>
      <c r="N72" s="20" t="n">
        <v>0</v>
      </c>
      <c r="O72" s="18" t="n">
        <v>0</v>
      </c>
      <c r="P72" s="20" t="n">
        <v>0</v>
      </c>
      <c r="Q72" s="18" t="n">
        <v>0.74114845</v>
      </c>
      <c r="R72" s="20" t="n">
        <v>0.40146905</v>
      </c>
    </row>
    <row r="73" spans="1:18">
      <c r="A73" s="15" t="s">
        <v>415</v>
      </c>
      <c r="B73" s="17" t="n">
        <v>3597</v>
      </c>
      <c r="C73" s="18">
        <f>(3170.0/B73*100)</f>
        <v/>
      </c>
      <c r="D73" s="19" t="n">
        <v>427</v>
      </c>
      <c r="E73" s="18" t="n">
        <v>61.7502086</v>
      </c>
      <c r="F73" s="20" t="n">
        <v>2.61563253</v>
      </c>
      <c r="G73" s="18" t="n">
        <v>38.24061542</v>
      </c>
      <c r="H73" s="20" t="n">
        <v>2.6169994</v>
      </c>
      <c r="I73" s="18" t="s">
        <v>349</v>
      </c>
      <c r="J73" s="20" t="s">
        <v>349</v>
      </c>
      <c r="K73" s="18" t="n">
        <v>0</v>
      </c>
      <c r="L73" s="20" t="n">
        <v>0</v>
      </c>
      <c r="M73" s="18" t="n">
        <v>0</v>
      </c>
      <c r="N73" s="20" t="n">
        <v>0</v>
      </c>
      <c r="O73" s="18" t="n">
        <v>0</v>
      </c>
      <c r="P73" s="20" t="n">
        <v>0</v>
      </c>
      <c r="Q73" s="18" t="n">
        <v>0.00917599</v>
      </c>
      <c r="R73" s="20" t="n">
        <v>0.00913214</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(2135.0/B75*100)</f>
        <v/>
      </c>
      <c r="D75" s="19" t="n">
        <v>271</v>
      </c>
      <c r="E75" s="18" t="n">
        <v>66.76653446</v>
      </c>
      <c r="F75" s="20" t="n">
        <v>2.95087336</v>
      </c>
      <c r="G75" s="18" t="n">
        <v>28.78356594</v>
      </c>
      <c r="H75" s="20" t="n">
        <v>2.8612475</v>
      </c>
      <c r="I75" s="18" t="s">
        <v>349</v>
      </c>
      <c r="J75" s="20" t="s">
        <v>349</v>
      </c>
      <c r="K75" s="18" t="n">
        <v>1.94816843</v>
      </c>
      <c r="L75" s="20" t="n">
        <v>0.76535761</v>
      </c>
      <c r="M75" s="18" t="n">
        <v>0</v>
      </c>
      <c r="N75" s="20" t="n">
        <v>0</v>
      </c>
      <c r="O75" s="18" t="n">
        <v>0</v>
      </c>
      <c r="P75" s="20" t="n">
        <v>0</v>
      </c>
      <c r="Q75" s="18" t="n">
        <v>2.50173117</v>
      </c>
      <c r="R75" s="20" t="n">
        <v>1.17766585</v>
      </c>
    </row>
    <row r="76" spans="1:18">
      <c r="A76" s="15" t="s">
        <v>418</v>
      </c>
      <c r="B76" s="17" t="n">
        <v>7052</v>
      </c>
      <c r="C76" s="18">
        <f>(6173.0/B76*100)</f>
        <v/>
      </c>
      <c r="D76" s="19" t="n">
        <v>879</v>
      </c>
      <c r="E76" s="18" t="n">
        <v>62.11340552</v>
      </c>
      <c r="F76" s="20" t="n">
        <v>2.02512707</v>
      </c>
      <c r="G76" s="18" t="n">
        <v>34.58910332</v>
      </c>
      <c r="H76" s="20" t="n">
        <v>2.06465844</v>
      </c>
      <c r="I76" s="18" t="s">
        <v>349</v>
      </c>
      <c r="J76" s="20" t="s">
        <v>349</v>
      </c>
      <c r="K76" s="18" t="n">
        <v>0.75220133</v>
      </c>
      <c r="L76" s="20" t="n">
        <v>0.34779384</v>
      </c>
      <c r="M76" s="18" t="n">
        <v>0</v>
      </c>
      <c r="N76" s="20" t="n">
        <v>0</v>
      </c>
      <c r="O76" s="18" t="n">
        <v>0</v>
      </c>
      <c r="P76" s="20" t="n">
        <v>0</v>
      </c>
      <c r="Q76" s="18" t="n">
        <v>2.54528983</v>
      </c>
      <c r="R76" s="20" t="n">
        <v>0.54752533</v>
      </c>
    </row>
    <row r="77" spans="1:18">
      <c r="A77" s="15" t="s">
        <v>419</v>
      </c>
      <c r="B77" s="17" t="n">
        <v>2908</v>
      </c>
      <c r="C77" s="18">
        <f>(2569.0/B77*100)</f>
        <v/>
      </c>
      <c r="D77" s="19" t="n">
        <v>339</v>
      </c>
      <c r="E77" s="18" t="n">
        <v>56.01375428</v>
      </c>
      <c r="F77" s="20" t="n">
        <v>2.73958793</v>
      </c>
      <c r="G77" s="18" t="n">
        <v>37.96141243</v>
      </c>
      <c r="H77" s="20" t="n">
        <v>2.78041277</v>
      </c>
      <c r="I77" s="18" t="s">
        <v>349</v>
      </c>
      <c r="J77" s="20" t="s">
        <v>349</v>
      </c>
      <c r="K77" s="18" t="n">
        <v>1.06311275</v>
      </c>
      <c r="L77" s="20" t="n">
        <v>0.70250751</v>
      </c>
      <c r="M77" s="18" t="n">
        <v>0</v>
      </c>
      <c r="N77" s="20" t="n">
        <v>0</v>
      </c>
      <c r="O77" s="18" t="n">
        <v>0</v>
      </c>
      <c r="P77" s="20" t="n">
        <v>0</v>
      </c>
      <c r="Q77" s="18" t="n">
        <v>4.96172055</v>
      </c>
      <c r="R77" s="20" t="n">
        <v>1.28315613</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(3653.0/B81*100)</f>
        <v/>
      </c>
      <c r="D81" s="19" t="n">
        <v>510</v>
      </c>
      <c r="E81" s="18" t="n">
        <v>62.74635923</v>
      </c>
      <c r="F81" s="20" t="n">
        <v>2.51306004</v>
      </c>
      <c r="G81" s="18" t="n">
        <v>36.39619808</v>
      </c>
      <c r="H81" s="20" t="n">
        <v>2.4345253</v>
      </c>
      <c r="I81" s="18" t="s">
        <v>349</v>
      </c>
      <c r="J81" s="20" t="s">
        <v>349</v>
      </c>
      <c r="K81" s="18" t="n">
        <v>0.29747954</v>
      </c>
      <c r="L81" s="20" t="n">
        <v>0.27956224</v>
      </c>
      <c r="M81" s="18" t="n">
        <v>0</v>
      </c>
      <c r="N81" s="20" t="n">
        <v>0</v>
      </c>
      <c r="O81" s="18" t="n">
        <v>0</v>
      </c>
      <c r="P81" s="20" t="n">
        <v>0</v>
      </c>
      <c r="Q81" s="18" t="n">
        <v>0.55996314</v>
      </c>
      <c r="R81" s="20" t="n">
        <v>0.35604055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(6456.0/B7*100)</f>
        <v/>
      </c>
      <c r="D7" s="19" t="n">
        <v>911</v>
      </c>
      <c r="E7" s="18" t="n">
        <v>42.17928792</v>
      </c>
      <c r="F7" s="20" t="n">
        <v>2.09431291</v>
      </c>
      <c r="G7" s="18" t="n">
        <v>49.37509811</v>
      </c>
      <c r="H7" s="20" t="n">
        <v>2.08372432</v>
      </c>
      <c r="I7" s="18" t="s">
        <v>349</v>
      </c>
      <c r="J7" s="20" t="s">
        <v>349</v>
      </c>
      <c r="K7" s="18" t="n">
        <v>1.86466</v>
      </c>
      <c r="L7" s="20" t="n">
        <v>0.5921503299999999</v>
      </c>
      <c r="M7" s="18" t="n">
        <v>0</v>
      </c>
      <c r="N7" s="20" t="n">
        <v>0</v>
      </c>
      <c r="O7" s="18" t="n">
        <v>0</v>
      </c>
      <c r="P7" s="20" t="n">
        <v>0</v>
      </c>
      <c r="Q7" s="18" t="n">
        <v>6.58095396</v>
      </c>
      <c r="R7" s="20" t="n">
        <v>0.97431836</v>
      </c>
    </row>
    <row r="8" spans="1:18">
      <c r="A8" s="15" t="s">
        <v>350</v>
      </c>
      <c r="B8" s="17" t="n">
        <v>3564</v>
      </c>
      <c r="C8" s="18">
        <f>(3135.0/B8*100)</f>
        <v/>
      </c>
      <c r="D8" s="19" t="n">
        <v>429</v>
      </c>
      <c r="E8" s="18" t="n">
        <v>39.47494856</v>
      </c>
      <c r="F8" s="20" t="n">
        <v>3.22837352</v>
      </c>
      <c r="G8" s="18" t="n">
        <v>53.25174408</v>
      </c>
      <c r="H8" s="20" t="n">
        <v>3.26638335</v>
      </c>
      <c r="I8" s="18" t="s">
        <v>349</v>
      </c>
      <c r="J8" s="20" t="s">
        <v>349</v>
      </c>
      <c r="K8" s="18" t="n">
        <v>0.08648285999999999</v>
      </c>
      <c r="L8" s="20" t="n">
        <v>0.0621698</v>
      </c>
      <c r="M8" s="18" t="n">
        <v>0</v>
      </c>
      <c r="N8" s="20" t="n">
        <v>0</v>
      </c>
      <c r="O8" s="18" t="n">
        <v>0</v>
      </c>
      <c r="P8" s="20" t="n">
        <v>0</v>
      </c>
      <c r="Q8" s="18" t="n">
        <v>7.1868245</v>
      </c>
      <c r="R8" s="20" t="n">
        <v>1.44959704</v>
      </c>
    </row>
    <row r="9" spans="1:18">
      <c r="A9" s="15" t="s">
        <v>351</v>
      </c>
      <c r="B9" s="17" t="n">
        <v>4899</v>
      </c>
      <c r="C9" s="18">
        <f>(4336.0/B9*100)</f>
        <v/>
      </c>
      <c r="D9" s="19" t="n">
        <v>563</v>
      </c>
      <c r="E9" s="18" t="n">
        <v>44.26166014</v>
      </c>
      <c r="F9" s="20" t="n">
        <v>2.77394599</v>
      </c>
      <c r="G9" s="18" t="n">
        <v>51.07344492</v>
      </c>
      <c r="H9" s="20" t="n">
        <v>2.78877757</v>
      </c>
      <c r="I9" s="18" t="s">
        <v>349</v>
      </c>
      <c r="J9" s="20" t="s">
        <v>349</v>
      </c>
      <c r="K9" s="18" t="n">
        <v>0.14821698</v>
      </c>
      <c r="L9" s="20" t="n">
        <v>0.15262434</v>
      </c>
      <c r="M9" s="18" t="n">
        <v>0</v>
      </c>
      <c r="N9" s="20" t="n">
        <v>0</v>
      </c>
      <c r="O9" s="18" t="n">
        <v>0</v>
      </c>
      <c r="P9" s="20" t="n">
        <v>0</v>
      </c>
      <c r="Q9" s="18" t="n">
        <v>4.51667796</v>
      </c>
      <c r="R9" s="20" t="n">
        <v>0.95744599</v>
      </c>
    </row>
    <row r="10" spans="1:18">
      <c r="A10" s="15" t="s">
        <v>352</v>
      </c>
      <c r="B10" s="17" t="n">
        <v>10036</v>
      </c>
      <c r="C10" s="18">
        <f>(8812.0/B10*100)</f>
        <v/>
      </c>
      <c r="D10" s="19" t="n">
        <v>1224</v>
      </c>
      <c r="E10" s="18" t="n">
        <v>42.06882274</v>
      </c>
      <c r="F10" s="20" t="n">
        <v>1.9633779</v>
      </c>
      <c r="G10" s="18" t="n">
        <v>54.57934897</v>
      </c>
      <c r="H10" s="20" t="n">
        <v>2.02207594</v>
      </c>
      <c r="I10" s="18" t="s">
        <v>349</v>
      </c>
      <c r="J10" s="20" t="s">
        <v>349</v>
      </c>
      <c r="K10" s="18" t="n">
        <v>0.20895506</v>
      </c>
      <c r="L10" s="20" t="n">
        <v>0.10533454</v>
      </c>
      <c r="M10" s="18" t="n">
        <v>0</v>
      </c>
      <c r="N10" s="20" t="n">
        <v>0</v>
      </c>
      <c r="O10" s="18" t="n">
        <v>0</v>
      </c>
      <c r="P10" s="20" t="n">
        <v>0</v>
      </c>
      <c r="Q10" s="18" t="n">
        <v>3.14287323</v>
      </c>
      <c r="R10" s="20" t="n">
        <v>0.59171207</v>
      </c>
    </row>
    <row r="11" spans="1:18">
      <c r="A11" s="15" t="s">
        <v>353</v>
      </c>
      <c r="B11" s="17" t="n">
        <v>3553</v>
      </c>
      <c r="C11" s="18">
        <f>(3126.0/B11*100)</f>
        <v/>
      </c>
      <c r="D11" s="19" t="n">
        <v>427</v>
      </c>
      <c r="E11" s="18" t="n">
        <v>60.60640796</v>
      </c>
      <c r="F11" s="20" t="n">
        <v>2.86794294</v>
      </c>
      <c r="G11" s="18" t="n">
        <v>24.21758341</v>
      </c>
      <c r="H11" s="20" t="n">
        <v>2.15919206</v>
      </c>
      <c r="I11" s="18" t="s">
        <v>349</v>
      </c>
      <c r="J11" s="20" t="s">
        <v>349</v>
      </c>
      <c r="K11" s="18" t="n">
        <v>0.85595344</v>
      </c>
      <c r="L11" s="20" t="n">
        <v>0.40255775</v>
      </c>
      <c r="M11" s="18" t="n">
        <v>0</v>
      </c>
      <c r="N11" s="20" t="n">
        <v>0</v>
      </c>
      <c r="O11" s="18" t="n">
        <v>0</v>
      </c>
      <c r="P11" s="20" t="n">
        <v>0</v>
      </c>
      <c r="Q11" s="18" t="n">
        <v>14.32005519</v>
      </c>
      <c r="R11" s="20" t="n">
        <v>2.19968546</v>
      </c>
    </row>
    <row r="12" spans="1:18">
      <c r="A12" s="15" t="s">
        <v>354</v>
      </c>
      <c r="B12" s="17" t="n">
        <v>3472</v>
      </c>
      <c r="C12" s="18">
        <f>(3071.0/B12*100)</f>
        <v/>
      </c>
      <c r="D12" s="19" t="n">
        <v>401</v>
      </c>
      <c r="E12" s="18" t="n">
        <v>44.25537701</v>
      </c>
      <c r="F12" s="20" t="n">
        <v>2.83231403</v>
      </c>
      <c r="G12" s="18" t="n">
        <v>48.11328667</v>
      </c>
      <c r="H12" s="20" t="n">
        <v>2.79463736</v>
      </c>
      <c r="I12" s="18" t="s">
        <v>349</v>
      </c>
      <c r="J12" s="20" t="s">
        <v>349</v>
      </c>
      <c r="K12" s="18" t="n">
        <v>0</v>
      </c>
      <c r="L12" s="20" t="n">
        <v>0</v>
      </c>
      <c r="M12" s="18" t="n">
        <v>0</v>
      </c>
      <c r="N12" s="20" t="n">
        <v>0</v>
      </c>
      <c r="O12" s="18" t="n">
        <v>0</v>
      </c>
      <c r="P12" s="20" t="n">
        <v>0</v>
      </c>
      <c r="Q12" s="18" t="n">
        <v>7.63133632</v>
      </c>
      <c r="R12" s="20" t="n">
        <v>1.46943954</v>
      </c>
    </row>
    <row r="13" spans="1:18">
      <c r="A13" s="15" t="s">
        <v>355</v>
      </c>
      <c r="B13" s="17" t="n">
        <v>3559</v>
      </c>
      <c r="C13" s="18">
        <f>(3139.0/B13*100)</f>
        <v/>
      </c>
      <c r="D13" s="19" t="n">
        <v>420</v>
      </c>
      <c r="E13" s="18" t="n">
        <v>39.57568892</v>
      </c>
      <c r="F13" s="20" t="n">
        <v>3.1366447</v>
      </c>
      <c r="G13" s="18" t="n">
        <v>54.75341697</v>
      </c>
      <c r="H13" s="20" t="n">
        <v>3.13882916</v>
      </c>
      <c r="I13" s="18" t="s">
        <v>349</v>
      </c>
      <c r="J13" s="20" t="s">
        <v>349</v>
      </c>
      <c r="K13" s="18" t="n">
        <v>0.7673859200000001</v>
      </c>
      <c r="L13" s="20" t="n">
        <v>0.5957952</v>
      </c>
      <c r="M13" s="18" t="n">
        <v>0</v>
      </c>
      <c r="N13" s="20" t="n">
        <v>0</v>
      </c>
      <c r="O13" s="18" t="n">
        <v>0</v>
      </c>
      <c r="P13" s="20" t="n">
        <v>0</v>
      </c>
      <c r="Q13" s="18" t="n">
        <v>4.90350819</v>
      </c>
      <c r="R13" s="20" t="n">
        <v>1.27396678</v>
      </c>
    </row>
    <row r="14" spans="1:18">
      <c r="A14" s="15" t="s">
        <v>356</v>
      </c>
      <c r="B14" s="17" t="n">
        <v>2799</v>
      </c>
      <c r="C14" s="18">
        <f>(2455.0/B14*100)</f>
        <v/>
      </c>
      <c r="D14" s="19" t="n">
        <v>344</v>
      </c>
      <c r="E14" s="18" t="n">
        <v>45.60186088</v>
      </c>
      <c r="F14" s="20" t="n">
        <v>2.98333667</v>
      </c>
      <c r="G14" s="18" t="n">
        <v>51.76397207</v>
      </c>
      <c r="H14" s="20" t="n">
        <v>2.88652396</v>
      </c>
      <c r="I14" s="18" t="s">
        <v>349</v>
      </c>
      <c r="J14" s="20" t="s">
        <v>349</v>
      </c>
      <c r="K14" s="18" t="n">
        <v>0</v>
      </c>
      <c r="L14" s="20" t="n">
        <v>0</v>
      </c>
      <c r="M14" s="18" t="n">
        <v>0</v>
      </c>
      <c r="N14" s="20" t="n">
        <v>0</v>
      </c>
      <c r="O14" s="18" t="n">
        <v>0</v>
      </c>
      <c r="P14" s="20" t="n">
        <v>0</v>
      </c>
      <c r="Q14" s="18" t="n">
        <v>2.63416705</v>
      </c>
      <c r="R14" s="20" t="n">
        <v>0.99907798</v>
      </c>
    </row>
    <row r="15" spans="1:18">
      <c r="A15" s="15" t="s">
        <v>357</v>
      </c>
      <c r="B15" s="17" t="n">
        <v>3019</v>
      </c>
      <c r="C15" s="18">
        <f>(2667.0/B15*100)</f>
        <v/>
      </c>
      <c r="D15" s="19" t="n">
        <v>352</v>
      </c>
      <c r="E15" s="18" t="n">
        <v>43.70663625</v>
      </c>
      <c r="F15" s="20" t="n">
        <v>2.6860328</v>
      </c>
      <c r="G15" s="18" t="n">
        <v>49.51411637</v>
      </c>
      <c r="H15" s="20" t="n">
        <v>2.92292896</v>
      </c>
      <c r="I15" s="18" t="s">
        <v>349</v>
      </c>
      <c r="J15" s="20" t="s">
        <v>349</v>
      </c>
      <c r="K15" s="18" t="n">
        <v>0</v>
      </c>
      <c r="L15" s="20" t="n">
        <v>0</v>
      </c>
      <c r="M15" s="18" t="n">
        <v>0</v>
      </c>
      <c r="N15" s="20" t="n">
        <v>0</v>
      </c>
      <c r="O15" s="18" t="n">
        <v>0</v>
      </c>
      <c r="P15" s="20" t="n">
        <v>0</v>
      </c>
      <c r="Q15" s="18" t="n">
        <v>6.77924738</v>
      </c>
      <c r="R15" s="20" t="n">
        <v>1.45378013</v>
      </c>
    </row>
    <row r="16" spans="1:18">
      <c r="A16" s="15" t="s">
        <v>358</v>
      </c>
      <c r="B16" s="17" t="n">
        <v>2997</v>
      </c>
      <c r="C16" s="18">
        <f>(2613.0/B16*100)</f>
        <v/>
      </c>
      <c r="D16" s="19" t="n">
        <v>384</v>
      </c>
      <c r="E16" s="18" t="n">
        <v>42.15202327</v>
      </c>
      <c r="F16" s="20" t="n">
        <v>2.66558039</v>
      </c>
      <c r="G16" s="18" t="n">
        <v>49.78621725</v>
      </c>
      <c r="H16" s="20" t="n">
        <v>2.50789192</v>
      </c>
      <c r="I16" s="18" t="s">
        <v>349</v>
      </c>
      <c r="J16" s="20" t="s">
        <v>349</v>
      </c>
      <c r="K16" s="18" t="n">
        <v>1.01957662</v>
      </c>
      <c r="L16" s="20" t="n">
        <v>0.53699485</v>
      </c>
      <c r="M16" s="18" t="n">
        <v>0</v>
      </c>
      <c r="N16" s="20" t="n">
        <v>0</v>
      </c>
      <c r="O16" s="18" t="n">
        <v>0</v>
      </c>
      <c r="P16" s="20" t="n">
        <v>0</v>
      </c>
      <c r="Q16" s="18" t="n">
        <v>7.04218285</v>
      </c>
      <c r="R16" s="20" t="n">
        <v>1.30329399</v>
      </c>
    </row>
    <row r="17" spans="1:18">
      <c r="A17" s="15" t="s">
        <v>359</v>
      </c>
      <c r="B17" s="17" t="n">
        <v>3307</v>
      </c>
      <c r="C17" s="18">
        <f>(2911.0/B17*100)</f>
        <v/>
      </c>
      <c r="D17" s="19" t="n">
        <v>396</v>
      </c>
      <c r="E17" s="18" t="n">
        <v>40.46749546</v>
      </c>
      <c r="F17" s="20" t="n">
        <v>2.36608381</v>
      </c>
      <c r="G17" s="18" t="n">
        <v>53.89139415</v>
      </c>
      <c r="H17" s="20" t="n">
        <v>2.23950276</v>
      </c>
      <c r="I17" s="18" t="s">
        <v>349</v>
      </c>
      <c r="J17" s="20" t="s">
        <v>349</v>
      </c>
      <c r="K17" s="18" t="n">
        <v>0.93092686</v>
      </c>
      <c r="L17" s="20" t="n">
        <v>0.32993069</v>
      </c>
      <c r="M17" s="18" t="n">
        <v>0</v>
      </c>
      <c r="N17" s="20" t="n">
        <v>0</v>
      </c>
      <c r="O17" s="18" t="n">
        <v>0</v>
      </c>
      <c r="P17" s="20" t="n">
        <v>0</v>
      </c>
      <c r="Q17" s="18" t="n">
        <v>4.71018353</v>
      </c>
      <c r="R17" s="20" t="n">
        <v>1.13396579</v>
      </c>
    </row>
    <row r="18" spans="1:18">
      <c r="A18" s="15" t="s">
        <v>360</v>
      </c>
      <c r="B18" s="17" t="n">
        <v>2826</v>
      </c>
      <c r="C18" s="18">
        <f>(2481.0/B18*100)</f>
        <v/>
      </c>
      <c r="D18" s="19" t="n">
        <v>345</v>
      </c>
      <c r="E18" s="18" t="n">
        <v>62.41763631</v>
      </c>
      <c r="F18" s="20" t="n">
        <v>2.64209547</v>
      </c>
      <c r="G18" s="18" t="n">
        <v>27.74296219</v>
      </c>
      <c r="H18" s="20" t="n">
        <v>2.54382047</v>
      </c>
      <c r="I18" s="18" t="s">
        <v>349</v>
      </c>
      <c r="J18" s="20" t="s">
        <v>349</v>
      </c>
      <c r="K18" s="18" t="n">
        <v>0.29663675</v>
      </c>
      <c r="L18" s="20" t="n">
        <v>0.29815434</v>
      </c>
      <c r="M18" s="18" t="n">
        <v>0</v>
      </c>
      <c r="N18" s="20" t="n">
        <v>0</v>
      </c>
      <c r="O18" s="18" t="n">
        <v>0</v>
      </c>
      <c r="P18" s="20" t="n">
        <v>0</v>
      </c>
      <c r="Q18" s="18" t="n">
        <v>9.542764740000001</v>
      </c>
      <c r="R18" s="20" t="n">
        <v>1.64854392</v>
      </c>
    </row>
    <row r="19" spans="1:18">
      <c r="A19" s="15" t="s">
        <v>361</v>
      </c>
      <c r="B19" s="17" t="n">
        <v>2808</v>
      </c>
      <c r="C19" s="18">
        <f>(2475.0/B19*100)</f>
        <v/>
      </c>
      <c r="D19" s="19" t="n">
        <v>333</v>
      </c>
      <c r="E19" s="18" t="n">
        <v>51.0973195</v>
      </c>
      <c r="F19" s="20" t="n">
        <v>2.8450566</v>
      </c>
      <c r="G19" s="18" t="n">
        <v>42.15914624</v>
      </c>
      <c r="H19" s="20" t="n">
        <v>2.86886924</v>
      </c>
      <c r="I19" s="18" t="s">
        <v>349</v>
      </c>
      <c r="J19" s="20" t="s">
        <v>349</v>
      </c>
      <c r="K19" s="18" t="n">
        <v>0.70344095</v>
      </c>
      <c r="L19" s="20" t="n">
        <v>0.66293758</v>
      </c>
      <c r="M19" s="18" t="n">
        <v>0</v>
      </c>
      <c r="N19" s="20" t="n">
        <v>0</v>
      </c>
      <c r="O19" s="18" t="n">
        <v>0</v>
      </c>
      <c r="P19" s="20" t="n">
        <v>0</v>
      </c>
      <c r="Q19" s="18" t="n">
        <v>6.04009332</v>
      </c>
      <c r="R19" s="20" t="n">
        <v>1.10123405</v>
      </c>
    </row>
    <row r="20" spans="1:18">
      <c r="A20" s="15" t="s">
        <v>362</v>
      </c>
      <c r="B20" s="17" t="n">
        <v>1630</v>
      </c>
      <c r="C20" s="18">
        <f>(1422.0/B20*100)</f>
        <v/>
      </c>
      <c r="D20" s="19" t="n">
        <v>208</v>
      </c>
      <c r="E20" s="18" t="n">
        <v>47.99046848</v>
      </c>
      <c r="F20" s="20" t="n">
        <v>3.25600573</v>
      </c>
      <c r="G20" s="18" t="n">
        <v>48.92991911</v>
      </c>
      <c r="H20" s="20" t="n">
        <v>3.06128627</v>
      </c>
      <c r="I20" s="18" t="s">
        <v>349</v>
      </c>
      <c r="J20" s="20" t="s">
        <v>349</v>
      </c>
      <c r="K20" s="18" t="n">
        <v>0.98746196</v>
      </c>
      <c r="L20" s="20" t="n">
        <v>0.7334459</v>
      </c>
      <c r="M20" s="18" t="n">
        <v>0</v>
      </c>
      <c r="N20" s="20" t="n">
        <v>0</v>
      </c>
      <c r="O20" s="18" t="n">
        <v>0</v>
      </c>
      <c r="P20" s="20" t="n">
        <v>0</v>
      </c>
      <c r="Q20" s="18" t="n">
        <v>2.09215046</v>
      </c>
      <c r="R20" s="20" t="n">
        <v>1.04864793</v>
      </c>
    </row>
    <row r="21" spans="1:18">
      <c r="A21" s="15" t="s">
        <v>363</v>
      </c>
      <c r="B21" s="17" t="n">
        <v>2908</v>
      </c>
      <c r="C21" s="18">
        <f>(2438.0/B21*100)</f>
        <v/>
      </c>
      <c r="D21" s="19" t="n">
        <v>470</v>
      </c>
      <c r="E21" s="18" t="n">
        <v>42.34008946</v>
      </c>
      <c r="F21" s="20" t="n">
        <v>2.46412354</v>
      </c>
      <c r="G21" s="18" t="n">
        <v>52.98834518</v>
      </c>
      <c r="H21" s="20" t="n">
        <v>2.38528499</v>
      </c>
      <c r="I21" s="18" t="s">
        <v>349</v>
      </c>
      <c r="J21" s="20" t="s">
        <v>349</v>
      </c>
      <c r="K21" s="18" t="n">
        <v>0.16837514</v>
      </c>
      <c r="L21" s="20" t="n">
        <v>0.16892145</v>
      </c>
      <c r="M21" s="18" t="n">
        <v>0</v>
      </c>
      <c r="N21" s="20" t="n">
        <v>0</v>
      </c>
      <c r="O21" s="18" t="n">
        <v>0</v>
      </c>
      <c r="P21" s="20" t="n">
        <v>0</v>
      </c>
      <c r="Q21" s="18" t="n">
        <v>4.50319023</v>
      </c>
      <c r="R21" s="20" t="n">
        <v>1.11439981</v>
      </c>
    </row>
    <row r="22" spans="1:18">
      <c r="A22" s="15" t="s">
        <v>364</v>
      </c>
      <c r="B22" s="17" t="n">
        <v>2931</v>
      </c>
      <c r="C22" s="18">
        <f>(2581.0/B22*100)</f>
        <v/>
      </c>
      <c r="D22" s="19" t="n">
        <v>350</v>
      </c>
      <c r="E22" s="18" t="n">
        <v>48.74228225</v>
      </c>
      <c r="F22" s="20" t="n">
        <v>2.57292224</v>
      </c>
      <c r="G22" s="18" t="n">
        <v>44.36543309</v>
      </c>
      <c r="H22" s="20" t="n">
        <v>2.40672806</v>
      </c>
      <c r="I22" s="18" t="s">
        <v>349</v>
      </c>
      <c r="J22" s="20" t="s">
        <v>349</v>
      </c>
      <c r="K22" s="18" t="n">
        <v>0.22819101</v>
      </c>
      <c r="L22" s="20" t="n">
        <v>0.22765237</v>
      </c>
      <c r="M22" s="18" t="n">
        <v>0</v>
      </c>
      <c r="N22" s="20" t="n">
        <v>0</v>
      </c>
      <c r="O22" s="18" t="n">
        <v>0</v>
      </c>
      <c r="P22" s="20" t="n">
        <v>0</v>
      </c>
      <c r="Q22" s="18" t="n">
        <v>6.66409366</v>
      </c>
      <c r="R22" s="20" t="n">
        <v>1.53739812</v>
      </c>
    </row>
    <row r="23" spans="1:18">
      <c r="A23" s="15" t="s">
        <v>365</v>
      </c>
      <c r="B23" s="17" t="n">
        <v>5791</v>
      </c>
      <c r="C23" s="18">
        <f>(5101.0/B23*100)</f>
        <v/>
      </c>
      <c r="D23" s="19" t="n">
        <v>690</v>
      </c>
      <c r="E23" s="18" t="n">
        <v>38.44250389</v>
      </c>
      <c r="F23" s="20" t="n">
        <v>2.78938294</v>
      </c>
      <c r="G23" s="18" t="n">
        <v>54.95868982</v>
      </c>
      <c r="H23" s="20" t="n">
        <v>3.07788106</v>
      </c>
      <c r="I23" s="18" t="s">
        <v>349</v>
      </c>
      <c r="J23" s="20" t="s">
        <v>349</v>
      </c>
      <c r="K23" s="18" t="n">
        <v>0.37188287</v>
      </c>
      <c r="L23" s="20" t="n">
        <v>0.35373843</v>
      </c>
      <c r="M23" s="18" t="n">
        <v>0</v>
      </c>
      <c r="N23" s="20" t="n">
        <v>0</v>
      </c>
      <c r="O23" s="18" t="n">
        <v>0</v>
      </c>
      <c r="P23" s="20" t="n">
        <v>0</v>
      </c>
      <c r="Q23" s="18" t="n">
        <v>6.22692342</v>
      </c>
      <c r="R23" s="20" t="n">
        <v>1.54520394</v>
      </c>
    </row>
    <row r="24" spans="1:18">
      <c r="A24" s="15" t="s">
        <v>366</v>
      </c>
      <c r="B24" s="17" t="n">
        <v>3338</v>
      </c>
      <c r="C24" s="18">
        <f>(2934.0/B24*100)</f>
        <v/>
      </c>
      <c r="D24" s="19" t="n">
        <v>404</v>
      </c>
      <c r="E24" s="18" t="n">
        <v>39.30262402</v>
      </c>
      <c r="F24" s="20" t="n">
        <v>2.74269142</v>
      </c>
      <c r="G24" s="18" t="n">
        <v>57.01356757</v>
      </c>
      <c r="H24" s="20" t="n">
        <v>2.64013176</v>
      </c>
      <c r="I24" s="18" t="s">
        <v>349</v>
      </c>
      <c r="J24" s="20" t="s">
        <v>349</v>
      </c>
      <c r="K24" s="18" t="n">
        <v>0.25818576</v>
      </c>
      <c r="L24" s="20" t="n">
        <v>0.24884779</v>
      </c>
      <c r="M24" s="18" t="n">
        <v>0</v>
      </c>
      <c r="N24" s="20" t="n">
        <v>0</v>
      </c>
      <c r="O24" s="18" t="n">
        <v>0</v>
      </c>
      <c r="P24" s="20" t="n">
        <v>0</v>
      </c>
      <c r="Q24" s="18" t="n">
        <v>3.42562265</v>
      </c>
      <c r="R24" s="20" t="n">
        <v>0.91198484</v>
      </c>
    </row>
    <row r="25" spans="1:18">
      <c r="A25" s="15" t="s">
        <v>367</v>
      </c>
      <c r="B25" s="17" t="n">
        <v>2912</v>
      </c>
      <c r="C25" s="18">
        <f>(2547.0/B25*100)</f>
        <v/>
      </c>
      <c r="D25" s="19" t="n">
        <v>365</v>
      </c>
      <c r="E25" s="18" t="n">
        <v>47.01887358</v>
      </c>
      <c r="F25" s="20" t="n">
        <v>2.91960283</v>
      </c>
      <c r="G25" s="18" t="n">
        <v>48.9208438</v>
      </c>
      <c r="H25" s="20" t="n">
        <v>3.12168977</v>
      </c>
      <c r="I25" s="18" t="s">
        <v>349</v>
      </c>
      <c r="J25" s="20" t="s">
        <v>349</v>
      </c>
      <c r="K25" s="18" t="n">
        <v>0.54099728</v>
      </c>
      <c r="L25" s="20" t="n">
        <v>0.38452429</v>
      </c>
      <c r="M25" s="18" t="n">
        <v>0</v>
      </c>
      <c r="N25" s="20" t="n">
        <v>0</v>
      </c>
      <c r="O25" s="18" t="n">
        <v>0</v>
      </c>
      <c r="P25" s="20" t="n">
        <v>0</v>
      </c>
      <c r="Q25" s="18" t="n">
        <v>3.51928534</v>
      </c>
      <c r="R25" s="20" t="n">
        <v>1.08349944</v>
      </c>
    </row>
    <row r="26" spans="1:18">
      <c r="A26" s="15" t="s">
        <v>368</v>
      </c>
      <c r="B26" s="17" t="n">
        <v>2450</v>
      </c>
      <c r="C26" s="18">
        <f>(2162.0/B26*100)</f>
        <v/>
      </c>
      <c r="D26" s="19" t="n">
        <v>288</v>
      </c>
      <c r="E26" s="18" t="n">
        <v>47.81141658</v>
      </c>
      <c r="F26" s="20" t="n">
        <v>2.80946638</v>
      </c>
      <c r="G26" s="18" t="n">
        <v>45.25353434</v>
      </c>
      <c r="H26" s="20" t="n">
        <v>2.89925499</v>
      </c>
      <c r="I26" s="18" t="s">
        <v>349</v>
      </c>
      <c r="J26" s="20" t="s">
        <v>349</v>
      </c>
      <c r="K26" s="18" t="n">
        <v>0</v>
      </c>
      <c r="L26" s="20" t="n">
        <v>0</v>
      </c>
      <c r="M26" s="18" t="n">
        <v>0</v>
      </c>
      <c r="N26" s="20" t="n">
        <v>0</v>
      </c>
      <c r="O26" s="18" t="n">
        <v>0</v>
      </c>
      <c r="P26" s="20" t="n">
        <v>0</v>
      </c>
      <c r="Q26" s="18" t="n">
        <v>6.93504907</v>
      </c>
      <c r="R26" s="20" t="n">
        <v>1.53375599</v>
      </c>
    </row>
    <row r="27" spans="1:18">
      <c r="A27" s="15" t="s">
        <v>369</v>
      </c>
      <c r="B27" s="17" t="n">
        <v>2616</v>
      </c>
      <c r="C27" s="18">
        <f>(2302.0/B27*100)</f>
        <v/>
      </c>
      <c r="D27" s="19" t="n">
        <v>314</v>
      </c>
      <c r="E27" s="18" t="n">
        <v>51.26528639</v>
      </c>
      <c r="F27" s="20" t="n">
        <v>2.49146663</v>
      </c>
      <c r="G27" s="18" t="n">
        <v>43.56857845</v>
      </c>
      <c r="H27" s="20" t="n">
        <v>2.53516227</v>
      </c>
      <c r="I27" s="18" t="s">
        <v>349</v>
      </c>
      <c r="J27" s="20" t="s">
        <v>349</v>
      </c>
      <c r="K27" s="18" t="n">
        <v>0.96388253</v>
      </c>
      <c r="L27" s="20" t="n">
        <v>0.56010645</v>
      </c>
      <c r="M27" s="18" t="n">
        <v>0</v>
      </c>
      <c r="N27" s="20" t="n">
        <v>0</v>
      </c>
      <c r="O27" s="18" t="n">
        <v>0</v>
      </c>
      <c r="P27" s="20" t="n">
        <v>0</v>
      </c>
      <c r="Q27" s="18" t="n">
        <v>4.20225264</v>
      </c>
      <c r="R27" s="20" t="n">
        <v>1.17061219</v>
      </c>
    </row>
    <row r="28" spans="1:18">
      <c r="A28" s="15" t="s">
        <v>370</v>
      </c>
      <c r="B28" s="17" t="n">
        <v>3765</v>
      </c>
      <c r="C28" s="18">
        <f>(3339.0/B28*100)</f>
        <v/>
      </c>
      <c r="D28" s="19" t="n">
        <v>426</v>
      </c>
      <c r="E28" s="18" t="n">
        <v>76.44913793000001</v>
      </c>
      <c r="F28" s="20" t="n">
        <v>2.52465934</v>
      </c>
      <c r="G28" s="18" t="n">
        <v>21.9255581</v>
      </c>
      <c r="H28" s="20" t="n">
        <v>2.35699334</v>
      </c>
      <c r="I28" s="18" t="s">
        <v>349</v>
      </c>
      <c r="J28" s="20" t="s">
        <v>349</v>
      </c>
      <c r="K28" s="18" t="n">
        <v>0</v>
      </c>
      <c r="L28" s="20" t="n">
        <v>0</v>
      </c>
      <c r="M28" s="18" t="n">
        <v>0</v>
      </c>
      <c r="N28" s="20" t="n">
        <v>0</v>
      </c>
      <c r="O28" s="18" t="n">
        <v>0</v>
      </c>
      <c r="P28" s="20" t="n">
        <v>0</v>
      </c>
      <c r="Q28" s="18" t="n">
        <v>1.62530397</v>
      </c>
      <c r="R28" s="20" t="n">
        <v>0.72442292</v>
      </c>
    </row>
    <row r="29" spans="1:18">
      <c r="A29" s="15" t="s">
        <v>371</v>
      </c>
      <c r="B29" s="17" t="n">
        <v>2685</v>
      </c>
      <c r="C29" s="18">
        <f>(2355.0/B29*100)</f>
        <v/>
      </c>
      <c r="D29" s="19" t="n">
        <v>330</v>
      </c>
      <c r="E29" s="18" t="n">
        <v>46.00492365</v>
      </c>
      <c r="F29" s="20" t="n">
        <v>2.83333034</v>
      </c>
      <c r="G29" s="18" t="n">
        <v>51.60215882</v>
      </c>
      <c r="H29" s="20" t="n">
        <v>3.01429928</v>
      </c>
      <c r="I29" s="18" t="s">
        <v>349</v>
      </c>
      <c r="J29" s="20" t="s">
        <v>349</v>
      </c>
      <c r="K29" s="18" t="n">
        <v>0.74937177</v>
      </c>
      <c r="L29" s="20" t="n">
        <v>0.52047426</v>
      </c>
      <c r="M29" s="18" t="n">
        <v>0</v>
      </c>
      <c r="N29" s="20" t="n">
        <v>0</v>
      </c>
      <c r="O29" s="18" t="n">
        <v>0</v>
      </c>
      <c r="P29" s="20" t="n">
        <v>0</v>
      </c>
      <c r="Q29" s="18" t="n">
        <v>1.64354576</v>
      </c>
      <c r="R29" s="20" t="n">
        <v>0.70040325</v>
      </c>
    </row>
    <row r="30" spans="1:18">
      <c r="A30" s="15" t="s">
        <v>372</v>
      </c>
      <c r="B30" s="17" t="n">
        <v>2263</v>
      </c>
      <c r="C30" s="18">
        <f>(1991.0/B30*100)</f>
        <v/>
      </c>
      <c r="D30" s="19" t="n">
        <v>272</v>
      </c>
      <c r="E30" s="18" t="n">
        <v>46.21408374</v>
      </c>
      <c r="F30" s="20" t="n">
        <v>3.12125033</v>
      </c>
      <c r="G30" s="18" t="n">
        <v>49.15569193</v>
      </c>
      <c r="H30" s="20" t="n">
        <v>3.12186059</v>
      </c>
      <c r="I30" s="18" t="s">
        <v>349</v>
      </c>
      <c r="J30" s="20" t="s">
        <v>349</v>
      </c>
      <c r="K30" s="18" t="n">
        <v>0.22736813</v>
      </c>
      <c r="L30" s="20" t="n">
        <v>0.22910924</v>
      </c>
      <c r="M30" s="18" t="n">
        <v>0</v>
      </c>
      <c r="N30" s="20" t="n">
        <v>0</v>
      </c>
      <c r="O30" s="18" t="n">
        <v>0</v>
      </c>
      <c r="P30" s="20" t="n">
        <v>0</v>
      </c>
      <c r="Q30" s="18" t="n">
        <v>4.4028562</v>
      </c>
      <c r="R30" s="20" t="n">
        <v>1.41363573</v>
      </c>
    </row>
    <row r="31" spans="1:18">
      <c r="A31" s="15" t="s">
        <v>373</v>
      </c>
      <c r="B31" s="17" t="n">
        <v>2750</v>
      </c>
      <c r="C31" s="18">
        <f>(2396.0/B31*100)</f>
        <v/>
      </c>
      <c r="D31" s="19" t="n">
        <v>354</v>
      </c>
      <c r="E31" s="18" t="n">
        <v>41.6527396</v>
      </c>
      <c r="F31" s="20" t="n">
        <v>2.52961915</v>
      </c>
      <c r="G31" s="18" t="n">
        <v>49.06284436</v>
      </c>
      <c r="H31" s="20" t="n">
        <v>2.65047353</v>
      </c>
      <c r="I31" s="18" t="s">
        <v>349</v>
      </c>
      <c r="J31" s="20" t="s">
        <v>349</v>
      </c>
      <c r="K31" s="18" t="n">
        <v>0.83357992</v>
      </c>
      <c r="L31" s="20" t="n">
        <v>0.47717497</v>
      </c>
      <c r="M31" s="18" t="n">
        <v>0</v>
      </c>
      <c r="N31" s="20" t="n">
        <v>0</v>
      </c>
      <c r="O31" s="18" t="n">
        <v>0</v>
      </c>
      <c r="P31" s="20" t="n">
        <v>0</v>
      </c>
      <c r="Q31" s="18" t="n">
        <v>8.45083612</v>
      </c>
      <c r="R31" s="20" t="n">
        <v>1.77774741</v>
      </c>
    </row>
    <row r="32" spans="1:18">
      <c r="A32" s="15" t="s">
        <v>374</v>
      </c>
      <c r="B32" s="17" t="n">
        <v>2269</v>
      </c>
      <c r="C32" s="18">
        <f>(1901.0/B32*100)</f>
        <v/>
      </c>
      <c r="D32" s="19" t="n">
        <v>368</v>
      </c>
      <c r="E32" s="18" t="n">
        <v>51.42764525</v>
      </c>
      <c r="F32" s="20" t="n">
        <v>2.92219794</v>
      </c>
      <c r="G32" s="18" t="n">
        <v>42.90392017</v>
      </c>
      <c r="H32" s="20" t="n">
        <v>2.67354272</v>
      </c>
      <c r="I32" s="18" t="s">
        <v>349</v>
      </c>
      <c r="J32" s="20" t="s">
        <v>349</v>
      </c>
      <c r="K32" s="18" t="n">
        <v>0.24321453</v>
      </c>
      <c r="L32" s="20" t="n">
        <v>0.24437532</v>
      </c>
      <c r="M32" s="18" t="n">
        <v>0</v>
      </c>
      <c r="N32" s="20" t="n">
        <v>0</v>
      </c>
      <c r="O32" s="18" t="n">
        <v>0</v>
      </c>
      <c r="P32" s="20" t="n">
        <v>0</v>
      </c>
      <c r="Q32" s="18" t="n">
        <v>5.42522005</v>
      </c>
      <c r="R32" s="20" t="n">
        <v>1.12164035</v>
      </c>
    </row>
    <row r="33" spans="1:18">
      <c r="A33" s="15" t="s">
        <v>375</v>
      </c>
      <c r="B33" s="17" t="n">
        <v>3674</v>
      </c>
      <c r="C33" s="18">
        <f>(3212.0/B33*100)</f>
        <v/>
      </c>
      <c r="D33" s="19" t="n">
        <v>462</v>
      </c>
      <c r="E33" s="18" t="n">
        <v>42.59696728</v>
      </c>
      <c r="F33" s="20" t="n">
        <v>2.83487235</v>
      </c>
      <c r="G33" s="18" t="n">
        <v>48.95050721</v>
      </c>
      <c r="H33" s="20" t="n">
        <v>2.61857367</v>
      </c>
      <c r="I33" s="18" t="s">
        <v>349</v>
      </c>
      <c r="J33" s="20" t="s">
        <v>349</v>
      </c>
      <c r="K33" s="18" t="n">
        <v>1.269296</v>
      </c>
      <c r="L33" s="20" t="n">
        <v>0.69882417</v>
      </c>
      <c r="M33" s="18" t="n">
        <v>0</v>
      </c>
      <c r="N33" s="20" t="n">
        <v>0</v>
      </c>
      <c r="O33" s="18" t="n">
        <v>0</v>
      </c>
      <c r="P33" s="20" t="n">
        <v>0</v>
      </c>
      <c r="Q33" s="18" t="n">
        <v>7.18322951</v>
      </c>
      <c r="R33" s="20" t="n">
        <v>1.12934674</v>
      </c>
    </row>
    <row r="34" spans="1:18">
      <c r="A34" s="15" t="s">
        <v>376</v>
      </c>
      <c r="B34" s="17" t="n">
        <v>3315</v>
      </c>
      <c r="C34" s="18">
        <f>(2908.0/B34*100)</f>
        <v/>
      </c>
      <c r="D34" s="19" t="n">
        <v>407</v>
      </c>
      <c r="E34" s="18" t="n">
        <v>49.49007612</v>
      </c>
      <c r="F34" s="20" t="n">
        <v>2.58539714</v>
      </c>
      <c r="G34" s="18" t="n">
        <v>44.31897169</v>
      </c>
      <c r="H34" s="20" t="n">
        <v>2.53392766</v>
      </c>
      <c r="I34" s="18" t="s">
        <v>349</v>
      </c>
      <c r="J34" s="20" t="s">
        <v>349</v>
      </c>
      <c r="K34" s="18" t="n">
        <v>0.36731611</v>
      </c>
      <c r="L34" s="20" t="n">
        <v>0.36296089</v>
      </c>
      <c r="M34" s="18" t="n">
        <v>0</v>
      </c>
      <c r="N34" s="20" t="n">
        <v>0</v>
      </c>
      <c r="O34" s="18" t="n">
        <v>0</v>
      </c>
      <c r="P34" s="20" t="n">
        <v>0</v>
      </c>
      <c r="Q34" s="18" t="n">
        <v>5.82363607</v>
      </c>
      <c r="R34" s="20" t="n">
        <v>1.23948094</v>
      </c>
    </row>
    <row r="35" spans="1:18">
      <c r="A35" s="15" t="s">
        <v>377</v>
      </c>
      <c r="B35" s="17" t="n">
        <v>3505</v>
      </c>
      <c r="C35" s="18">
        <f>(3092.0/B35*100)</f>
        <v/>
      </c>
      <c r="D35" s="19" t="n">
        <v>413</v>
      </c>
      <c r="E35" s="18" t="n">
        <v>47.86992397</v>
      </c>
      <c r="F35" s="20" t="n">
        <v>3.62501228</v>
      </c>
      <c r="G35" s="18" t="n">
        <v>50.08991414</v>
      </c>
      <c r="H35" s="20" t="n">
        <v>3.61140168</v>
      </c>
      <c r="I35" s="18" t="s">
        <v>349</v>
      </c>
      <c r="J35" s="20" t="s">
        <v>349</v>
      </c>
      <c r="K35" s="18" t="n">
        <v>0</v>
      </c>
      <c r="L35" s="20" t="n">
        <v>0</v>
      </c>
      <c r="M35" s="18" t="n">
        <v>0</v>
      </c>
      <c r="N35" s="20" t="n">
        <v>0</v>
      </c>
      <c r="O35" s="18" t="n">
        <v>0</v>
      </c>
      <c r="P35" s="20" t="n">
        <v>0</v>
      </c>
      <c r="Q35" s="18" t="n">
        <v>2.04016189</v>
      </c>
      <c r="R35" s="20" t="n">
        <v>0.59469754</v>
      </c>
    </row>
    <row r="36" spans="1:18">
      <c r="A36" s="15" t="s">
        <v>378</v>
      </c>
      <c r="B36" s="17" t="n">
        <v>3332</v>
      </c>
      <c r="C36" s="18">
        <f>(2925.0/B36*100)</f>
        <v/>
      </c>
      <c r="D36" s="19" t="n">
        <v>407</v>
      </c>
      <c r="E36" s="18" t="n">
        <v>40.30425407</v>
      </c>
      <c r="F36" s="20" t="n">
        <v>2.35065952</v>
      </c>
      <c r="G36" s="18" t="n">
        <v>52.04991379</v>
      </c>
      <c r="H36" s="20" t="n">
        <v>2.58919835</v>
      </c>
      <c r="I36" s="18" t="s">
        <v>349</v>
      </c>
      <c r="J36" s="20" t="s">
        <v>349</v>
      </c>
      <c r="K36" s="18" t="n">
        <v>1.17168761</v>
      </c>
      <c r="L36" s="20" t="n">
        <v>0.64678644</v>
      </c>
      <c r="M36" s="18" t="n">
        <v>0</v>
      </c>
      <c r="N36" s="20" t="n">
        <v>0</v>
      </c>
      <c r="O36" s="18" t="n">
        <v>0</v>
      </c>
      <c r="P36" s="20" t="n">
        <v>0</v>
      </c>
      <c r="Q36" s="18" t="n">
        <v>6.47414453</v>
      </c>
      <c r="R36" s="20" t="n">
        <v>1.33409234</v>
      </c>
    </row>
    <row r="37" spans="1:18">
      <c r="A37" s="15" t="s">
        <v>379</v>
      </c>
      <c r="B37" s="17" t="n">
        <v>2727</v>
      </c>
      <c r="C37" s="18">
        <f>(2422.0/B37*100)</f>
        <v/>
      </c>
      <c r="D37" s="19" t="n">
        <v>305</v>
      </c>
      <c r="E37" s="18" t="n">
        <v>41.33264686</v>
      </c>
      <c r="F37" s="20" t="n">
        <v>2.76946453</v>
      </c>
      <c r="G37" s="18" t="n">
        <v>44.57365299</v>
      </c>
      <c r="H37" s="20" t="n">
        <v>2.86269525</v>
      </c>
      <c r="I37" s="18" t="s">
        <v>349</v>
      </c>
      <c r="J37" s="20" t="s">
        <v>349</v>
      </c>
      <c r="K37" s="18" t="n">
        <v>1.62079555</v>
      </c>
      <c r="L37" s="20" t="n">
        <v>0.80633633</v>
      </c>
      <c r="M37" s="18" t="n">
        <v>0</v>
      </c>
      <c r="N37" s="20" t="n">
        <v>0</v>
      </c>
      <c r="O37" s="18" t="n">
        <v>0</v>
      </c>
      <c r="P37" s="20" t="n">
        <v>0</v>
      </c>
      <c r="Q37" s="18" t="n">
        <v>12.4729046</v>
      </c>
      <c r="R37" s="20" t="n">
        <v>2.02047531</v>
      </c>
    </row>
    <row r="38" spans="1:18">
      <c r="A38" s="15" t="s">
        <v>380</v>
      </c>
      <c r="B38" s="17" t="n">
        <v>3053</v>
      </c>
      <c r="C38" s="18">
        <f>(2556.0/B38*100)</f>
        <v/>
      </c>
      <c r="D38" s="19" t="n">
        <v>497</v>
      </c>
      <c r="E38" s="18" t="n">
        <v>38.81037336</v>
      </c>
      <c r="F38" s="20" t="n">
        <v>2.20283003</v>
      </c>
      <c r="G38" s="18" t="n">
        <v>55.9905882</v>
      </c>
      <c r="H38" s="20" t="n">
        <v>2.42985754</v>
      </c>
      <c r="I38" s="18" t="s">
        <v>349</v>
      </c>
      <c r="J38" s="20" t="s">
        <v>349</v>
      </c>
      <c r="K38" s="18" t="n">
        <v>0.71799862</v>
      </c>
      <c r="L38" s="20" t="n">
        <v>0.52576751</v>
      </c>
      <c r="M38" s="18" t="n">
        <v>0</v>
      </c>
      <c r="N38" s="20" t="n">
        <v>0</v>
      </c>
      <c r="O38" s="18" t="n">
        <v>0</v>
      </c>
      <c r="P38" s="20" t="n">
        <v>0</v>
      </c>
      <c r="Q38" s="18" t="n">
        <v>4.48103982</v>
      </c>
      <c r="R38" s="20" t="n">
        <v>0.99984511</v>
      </c>
    </row>
    <row r="39" spans="1:18">
      <c r="A39" s="15" t="s">
        <v>381</v>
      </c>
      <c r="B39" s="17" t="n">
        <v>2957</v>
      </c>
      <c r="C39" s="18">
        <f>(2593.0/B39*100)</f>
        <v/>
      </c>
      <c r="D39" s="19" t="n">
        <v>364</v>
      </c>
      <c r="E39" s="18" t="n">
        <v>70.19859839</v>
      </c>
      <c r="F39" s="20" t="n">
        <v>2.67350702</v>
      </c>
      <c r="G39" s="18" t="n">
        <v>22.69911714</v>
      </c>
      <c r="H39" s="20" t="n">
        <v>2.25868116</v>
      </c>
      <c r="I39" s="18" t="s">
        <v>349</v>
      </c>
      <c r="J39" s="20" t="s">
        <v>349</v>
      </c>
      <c r="K39" s="18" t="n">
        <v>0</v>
      </c>
      <c r="L39" s="20" t="n">
        <v>0</v>
      </c>
      <c r="M39" s="18" t="n">
        <v>0</v>
      </c>
      <c r="N39" s="20" t="n">
        <v>0</v>
      </c>
      <c r="O39" s="18" t="n">
        <v>0</v>
      </c>
      <c r="P39" s="20" t="n">
        <v>0</v>
      </c>
      <c r="Q39" s="18" t="n">
        <v>7.10228447</v>
      </c>
      <c r="R39" s="20" t="n">
        <v>1.46899441</v>
      </c>
    </row>
    <row r="40" spans="1:18">
      <c r="A40" s="15" t="s">
        <v>382</v>
      </c>
      <c r="B40" s="17" t="n">
        <v>7235</v>
      </c>
      <c r="C40" s="18">
        <f>(6329.0/B40*100)</f>
        <v/>
      </c>
      <c r="D40" s="19" t="n">
        <v>906</v>
      </c>
      <c r="E40" s="18" t="n">
        <v>42.37532486</v>
      </c>
      <c r="F40" s="20" t="n">
        <v>2.57673952</v>
      </c>
      <c r="G40" s="18" t="n">
        <v>50.9162338</v>
      </c>
      <c r="H40" s="20" t="n">
        <v>2.34897511</v>
      </c>
      <c r="I40" s="18" t="s">
        <v>349</v>
      </c>
      <c r="J40" s="20" t="s">
        <v>349</v>
      </c>
      <c r="K40" s="18" t="n">
        <v>0.5764950599999999</v>
      </c>
      <c r="L40" s="20" t="n">
        <v>0.5188602</v>
      </c>
      <c r="M40" s="18" t="n">
        <v>0</v>
      </c>
      <c r="N40" s="20" t="n">
        <v>0</v>
      </c>
      <c r="O40" s="18" t="n">
        <v>0</v>
      </c>
      <c r="P40" s="20" t="n">
        <v>0</v>
      </c>
      <c r="Q40" s="18" t="n">
        <v>6.13194627</v>
      </c>
      <c r="R40" s="20" t="n">
        <v>1.26982779</v>
      </c>
    </row>
    <row r="41" spans="1:18">
      <c r="A41" s="15" t="s">
        <v>383</v>
      </c>
      <c r="B41" s="17" t="n">
        <v>2858</v>
      </c>
      <c r="C41" s="18">
        <f>(2534.0/B41*100)</f>
        <v/>
      </c>
      <c r="D41" s="19" t="n">
        <v>324</v>
      </c>
      <c r="E41" s="18" t="n">
        <v>59.86396254</v>
      </c>
      <c r="F41" s="20" t="n">
        <v>3.30087601</v>
      </c>
      <c r="G41" s="18" t="n">
        <v>38.157764</v>
      </c>
      <c r="H41" s="20" t="n">
        <v>3.29875317</v>
      </c>
      <c r="I41" s="18" t="s">
        <v>349</v>
      </c>
      <c r="J41" s="20" t="s">
        <v>349</v>
      </c>
      <c r="K41" s="18" t="n">
        <v>0.28607637</v>
      </c>
      <c r="L41" s="20" t="n">
        <v>0.27802975</v>
      </c>
      <c r="M41" s="18" t="n">
        <v>0</v>
      </c>
      <c r="N41" s="20" t="n">
        <v>0</v>
      </c>
      <c r="O41" s="18" t="n">
        <v>0</v>
      </c>
      <c r="P41" s="20" t="n">
        <v>0</v>
      </c>
      <c r="Q41" s="18" t="n">
        <v>1.69219709</v>
      </c>
      <c r="R41" s="20" t="n">
        <v>0.7669194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(9901.0/B46*100)</f>
        <v/>
      </c>
      <c r="D46" s="19" t="n">
        <v>1167</v>
      </c>
      <c r="E46" s="18" t="n">
        <v>75.22298542</v>
      </c>
      <c r="F46" s="20" t="n">
        <v>1.6136976</v>
      </c>
      <c r="G46" s="18" t="n">
        <v>13.79479047</v>
      </c>
      <c r="H46" s="20" t="n">
        <v>1.34646566</v>
      </c>
      <c r="I46" s="18" t="s">
        <v>349</v>
      </c>
      <c r="J46" s="20" t="s">
        <v>349</v>
      </c>
      <c r="K46" s="18" t="n">
        <v>1.11260199</v>
      </c>
      <c r="L46" s="20" t="n">
        <v>0.35261042</v>
      </c>
      <c r="M46" s="18" t="n">
        <v>0</v>
      </c>
      <c r="N46" s="20" t="n">
        <v>0</v>
      </c>
      <c r="O46" s="18" t="n">
        <v>0</v>
      </c>
      <c r="P46" s="20" t="n">
        <v>0</v>
      </c>
      <c r="Q46" s="18" t="n">
        <v>9.869622120000001</v>
      </c>
      <c r="R46" s="20" t="n">
        <v>1.19283232</v>
      </c>
    </row>
    <row r="47" spans="1:18">
      <c r="A47" s="15" t="s">
        <v>389</v>
      </c>
      <c r="B47" s="17" t="n">
        <v>3105</v>
      </c>
      <c r="C47" s="18">
        <f>(2732.0/B47*100)</f>
        <v/>
      </c>
      <c r="D47" s="19" t="n">
        <v>373</v>
      </c>
      <c r="E47" s="18" t="n">
        <v>60.5051529</v>
      </c>
      <c r="F47" s="20" t="n">
        <v>2.44157586</v>
      </c>
      <c r="G47" s="18" t="n">
        <v>31.18056755</v>
      </c>
      <c r="H47" s="20" t="n">
        <v>2.62630918</v>
      </c>
      <c r="I47" s="18" t="s">
        <v>349</v>
      </c>
      <c r="J47" s="20" t="s">
        <v>349</v>
      </c>
      <c r="K47" s="18" t="n">
        <v>0.77831756</v>
      </c>
      <c r="L47" s="20" t="n">
        <v>0.44856532</v>
      </c>
      <c r="M47" s="18" t="n">
        <v>0</v>
      </c>
      <c r="N47" s="20" t="n">
        <v>0</v>
      </c>
      <c r="O47" s="18" t="n">
        <v>0</v>
      </c>
      <c r="P47" s="20" t="n">
        <v>0</v>
      </c>
      <c r="Q47" s="18" t="n">
        <v>7.53596199</v>
      </c>
      <c r="R47" s="20" t="n">
        <v>1.45709774</v>
      </c>
    </row>
    <row r="48" spans="1:18">
      <c r="A48" s="15" t="s">
        <v>390</v>
      </c>
      <c r="B48" s="17" t="n">
        <v>5159</v>
      </c>
      <c r="C48" s="18">
        <f>(4502.0/B48*100)</f>
        <v/>
      </c>
      <c r="D48" s="19" t="n">
        <v>657</v>
      </c>
      <c r="E48" s="18" t="n">
        <v>48.13414828</v>
      </c>
      <c r="F48" s="20" t="n">
        <v>2.70863005</v>
      </c>
      <c r="G48" s="18" t="n">
        <v>50.00125825</v>
      </c>
      <c r="H48" s="20" t="n">
        <v>2.68838702</v>
      </c>
      <c r="I48" s="18" t="s">
        <v>349</v>
      </c>
      <c r="J48" s="20" t="s">
        <v>349</v>
      </c>
      <c r="K48" s="18" t="n">
        <v>0.28729144</v>
      </c>
      <c r="L48" s="20" t="n">
        <v>0.21408996</v>
      </c>
      <c r="M48" s="18" t="n">
        <v>0</v>
      </c>
      <c r="N48" s="20" t="n">
        <v>0</v>
      </c>
      <c r="O48" s="18" t="n">
        <v>0</v>
      </c>
      <c r="P48" s="20" t="n">
        <v>0</v>
      </c>
      <c r="Q48" s="18" t="n">
        <v>1.57730203</v>
      </c>
      <c r="R48" s="20" t="n">
        <v>0.6479689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(4967.0/B50*100)</f>
        <v/>
      </c>
      <c r="D50" s="19" t="n">
        <v>670</v>
      </c>
      <c r="E50" s="18" t="n">
        <v>81.08599432</v>
      </c>
      <c r="F50" s="20" t="n">
        <v>1.798592</v>
      </c>
      <c r="G50" s="18" t="n">
        <v>13.33132693</v>
      </c>
      <c r="H50" s="20" t="n">
        <v>1.6760123</v>
      </c>
      <c r="I50" s="18" t="s">
        <v>349</v>
      </c>
      <c r="J50" s="20" t="s">
        <v>349</v>
      </c>
      <c r="K50" s="18" t="n">
        <v>0.43611347</v>
      </c>
      <c r="L50" s="20" t="n">
        <v>0.27665595</v>
      </c>
      <c r="M50" s="18" t="n">
        <v>0</v>
      </c>
      <c r="N50" s="20" t="n">
        <v>0</v>
      </c>
      <c r="O50" s="18" t="n">
        <v>0</v>
      </c>
      <c r="P50" s="20" t="n">
        <v>0</v>
      </c>
      <c r="Q50" s="18" t="n">
        <v>5.14656529</v>
      </c>
      <c r="R50" s="20" t="n">
        <v>1.15910196</v>
      </c>
    </row>
    <row r="51" spans="1:18">
      <c r="A51" s="15" t="s">
        <v>393</v>
      </c>
      <c r="B51" s="17" t="n">
        <v>3372</v>
      </c>
      <c r="C51" s="18">
        <f>(3033.0/B51*100)</f>
        <v/>
      </c>
      <c r="D51" s="19" t="n">
        <v>339</v>
      </c>
      <c r="E51" s="18" t="n">
        <v>80.83710876000001</v>
      </c>
      <c r="F51" s="20" t="n">
        <v>2.22608933</v>
      </c>
      <c r="G51" s="18" t="n">
        <v>10.46811764</v>
      </c>
      <c r="H51" s="20" t="n">
        <v>1.83473202</v>
      </c>
      <c r="I51" s="18" t="s">
        <v>349</v>
      </c>
      <c r="J51" s="20" t="s">
        <v>349</v>
      </c>
      <c r="K51" s="18" t="n">
        <v>0.68556318</v>
      </c>
      <c r="L51" s="20" t="n">
        <v>0.48494114</v>
      </c>
      <c r="M51" s="18" t="n">
        <v>0</v>
      </c>
      <c r="N51" s="20" t="n">
        <v>0</v>
      </c>
      <c r="O51" s="18" t="n">
        <v>0</v>
      </c>
      <c r="P51" s="20" t="n">
        <v>0</v>
      </c>
      <c r="Q51" s="18" t="n">
        <v>8.00921042</v>
      </c>
      <c r="R51" s="20" t="n">
        <v>1.48545138</v>
      </c>
    </row>
    <row r="52" spans="1:18">
      <c r="A52" s="15" t="s">
        <v>394</v>
      </c>
      <c r="B52" s="17" t="n">
        <v>2796</v>
      </c>
      <c r="C52" s="18">
        <f>(2449.0/B52*100)</f>
        <v/>
      </c>
      <c r="D52" s="19" t="n">
        <v>347</v>
      </c>
      <c r="E52" s="18" t="n">
        <v>51.93797627</v>
      </c>
      <c r="F52" s="20" t="n">
        <v>2.77893832</v>
      </c>
      <c r="G52" s="18" t="n">
        <v>41.72661805</v>
      </c>
      <c r="H52" s="20" t="n">
        <v>2.83653546</v>
      </c>
      <c r="I52" s="18" t="s">
        <v>349</v>
      </c>
      <c r="J52" s="20" t="s">
        <v>349</v>
      </c>
      <c r="K52" s="18" t="n">
        <v>0</v>
      </c>
      <c r="L52" s="20" t="n">
        <v>0</v>
      </c>
      <c r="M52" s="18" t="n">
        <v>0</v>
      </c>
      <c r="N52" s="20" t="n">
        <v>0</v>
      </c>
      <c r="O52" s="18" t="n">
        <v>0</v>
      </c>
      <c r="P52" s="20" t="n">
        <v>0</v>
      </c>
      <c r="Q52" s="18" t="n">
        <v>6.33540568</v>
      </c>
      <c r="R52" s="20" t="n">
        <v>1.41261388</v>
      </c>
    </row>
    <row r="53" spans="1:18">
      <c r="A53" s="15" t="s">
        <v>395</v>
      </c>
      <c r="B53" s="17" t="n">
        <v>2811</v>
      </c>
      <c r="C53" s="18">
        <f>(2450.0/B53*100)</f>
        <v/>
      </c>
      <c r="D53" s="19" t="n">
        <v>361</v>
      </c>
      <c r="E53" s="18" t="n">
        <v>64.47414815</v>
      </c>
      <c r="F53" s="20" t="n">
        <v>2.56913277</v>
      </c>
      <c r="G53" s="18" t="n">
        <v>28.30469418</v>
      </c>
      <c r="H53" s="20" t="n">
        <v>2.66386544</v>
      </c>
      <c r="I53" s="18" t="s">
        <v>349</v>
      </c>
      <c r="J53" s="20" t="s">
        <v>349</v>
      </c>
      <c r="K53" s="18" t="n">
        <v>0.87873846</v>
      </c>
      <c r="L53" s="20" t="n">
        <v>0.44060037</v>
      </c>
      <c r="M53" s="18" t="n">
        <v>0</v>
      </c>
      <c r="N53" s="20" t="n">
        <v>0</v>
      </c>
      <c r="O53" s="18" t="n">
        <v>0</v>
      </c>
      <c r="P53" s="20" t="n">
        <v>0</v>
      </c>
      <c r="Q53" s="18" t="n">
        <v>6.34241921</v>
      </c>
      <c r="R53" s="20" t="n">
        <v>1.32953369</v>
      </c>
    </row>
    <row r="54" spans="1:18">
      <c r="A54" s="15" t="s">
        <v>396</v>
      </c>
      <c r="B54" s="17" t="n">
        <v>2266</v>
      </c>
      <c r="C54" s="18">
        <f>(1864.0/B54*100)</f>
        <v/>
      </c>
      <c r="D54" s="19" t="n">
        <v>402</v>
      </c>
      <c r="E54" s="18" t="n">
        <v>76.65279504999999</v>
      </c>
      <c r="F54" s="20" t="n">
        <v>2.23868616</v>
      </c>
      <c r="G54" s="18" t="n">
        <v>1.0081227</v>
      </c>
      <c r="H54" s="20" t="n">
        <v>0.45614269</v>
      </c>
      <c r="I54" s="18" t="s">
        <v>349</v>
      </c>
      <c r="J54" s="20" t="s">
        <v>349</v>
      </c>
      <c r="K54" s="18" t="n">
        <v>7.06170967</v>
      </c>
      <c r="L54" s="20" t="n">
        <v>1.38354123</v>
      </c>
      <c r="M54" s="18" t="n">
        <v>0</v>
      </c>
      <c r="N54" s="20" t="n">
        <v>0</v>
      </c>
      <c r="O54" s="18" t="n">
        <v>0</v>
      </c>
      <c r="P54" s="20" t="n">
        <v>0</v>
      </c>
      <c r="Q54" s="18" t="n">
        <v>15.27737258</v>
      </c>
      <c r="R54" s="20" t="n">
        <v>1.83568761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(2357.0/B56*100)</f>
        <v/>
      </c>
      <c r="D56" s="19" t="n">
        <v>327</v>
      </c>
      <c r="E56" s="18" t="n">
        <v>43.03963642</v>
      </c>
      <c r="F56" s="20" t="n">
        <v>2.92476177</v>
      </c>
      <c r="G56" s="18" t="n">
        <v>54.74714692</v>
      </c>
      <c r="H56" s="20" t="n">
        <v>3.03685113</v>
      </c>
      <c r="I56" s="18" t="s">
        <v>349</v>
      </c>
      <c r="J56" s="20" t="s">
        <v>349</v>
      </c>
      <c r="K56" s="18" t="n">
        <v>0.24849671</v>
      </c>
      <c r="L56" s="20" t="n">
        <v>0.25403304</v>
      </c>
      <c r="M56" s="18" t="n">
        <v>0</v>
      </c>
      <c r="N56" s="20" t="n">
        <v>0</v>
      </c>
      <c r="O56" s="18" t="n">
        <v>0</v>
      </c>
      <c r="P56" s="20" t="n">
        <v>0</v>
      </c>
      <c r="Q56" s="18" t="n">
        <v>1.96471994</v>
      </c>
      <c r="R56" s="20" t="n">
        <v>0.78512623</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(2897.0/B61*100)</f>
        <v/>
      </c>
      <c r="D61" s="19" t="n">
        <v>427</v>
      </c>
      <c r="E61" s="18" t="n">
        <v>53.61232193</v>
      </c>
      <c r="F61" s="20" t="n">
        <v>2.58416167</v>
      </c>
      <c r="G61" s="18" t="n">
        <v>41.74106276</v>
      </c>
      <c r="H61" s="20" t="n">
        <v>2.47478586</v>
      </c>
      <c r="I61" s="18" t="s">
        <v>349</v>
      </c>
      <c r="J61" s="20" t="s">
        <v>349</v>
      </c>
      <c r="K61" s="18" t="n">
        <v>0</v>
      </c>
      <c r="L61" s="20" t="n">
        <v>0</v>
      </c>
      <c r="M61" s="18" t="n">
        <v>0</v>
      </c>
      <c r="N61" s="20" t="n">
        <v>0</v>
      </c>
      <c r="O61" s="18" t="n">
        <v>0</v>
      </c>
      <c r="P61" s="20" t="n">
        <v>0</v>
      </c>
      <c r="Q61" s="18" t="n">
        <v>4.6466153</v>
      </c>
      <c r="R61" s="20" t="n">
        <v>0.95889727</v>
      </c>
    </row>
    <row r="62" spans="1:18">
      <c r="A62" s="15" t="s">
        <v>404</v>
      </c>
      <c r="B62" s="17" t="n">
        <v>2246</v>
      </c>
      <c r="C62" s="18">
        <f>(1979.0/B62*100)</f>
        <v/>
      </c>
      <c r="D62" s="19" t="n">
        <v>267</v>
      </c>
      <c r="E62" s="18" t="n">
        <v>41.52538282</v>
      </c>
      <c r="F62" s="20" t="n">
        <v>2.803461</v>
      </c>
      <c r="G62" s="18" t="n">
        <v>57.34118021</v>
      </c>
      <c r="H62" s="20" t="n">
        <v>2.83391625</v>
      </c>
      <c r="I62" s="18" t="s">
        <v>349</v>
      </c>
      <c r="J62" s="20" t="s">
        <v>349</v>
      </c>
      <c r="K62" s="18" t="n">
        <v>0</v>
      </c>
      <c r="L62" s="20" t="n">
        <v>0</v>
      </c>
      <c r="M62" s="18" t="n">
        <v>0</v>
      </c>
      <c r="N62" s="20" t="n">
        <v>0</v>
      </c>
      <c r="O62" s="18" t="n">
        <v>0</v>
      </c>
      <c r="P62" s="20" t="n">
        <v>0</v>
      </c>
      <c r="Q62" s="18" t="n">
        <v>1.13343697</v>
      </c>
      <c r="R62" s="20" t="n">
        <v>0.64556985</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(2533.0/B66*100)</f>
        <v/>
      </c>
      <c r="D66" s="19" t="n">
        <v>361</v>
      </c>
      <c r="E66" s="18" t="n">
        <v>62.11175386</v>
      </c>
      <c r="F66" s="20" t="n">
        <v>2.35464535</v>
      </c>
      <c r="G66" s="18" t="n">
        <v>19.17639269</v>
      </c>
      <c r="H66" s="20" t="n">
        <v>1.87156877</v>
      </c>
      <c r="I66" s="18" t="s">
        <v>349</v>
      </c>
      <c r="J66" s="20" t="s">
        <v>349</v>
      </c>
      <c r="K66" s="18" t="n">
        <v>1.19674742</v>
      </c>
      <c r="L66" s="20" t="n">
        <v>0.58986918</v>
      </c>
      <c r="M66" s="18" t="n">
        <v>0</v>
      </c>
      <c r="N66" s="20" t="n">
        <v>0</v>
      </c>
      <c r="O66" s="18" t="n">
        <v>0</v>
      </c>
      <c r="P66" s="20" t="n">
        <v>0</v>
      </c>
      <c r="Q66" s="18" t="n">
        <v>17.51510604</v>
      </c>
      <c r="R66" s="20" t="n">
        <v>2.19210836</v>
      </c>
    </row>
    <row r="67" spans="1:18">
      <c r="A67" s="15" t="s">
        <v>409</v>
      </c>
      <c r="B67" s="17" t="n">
        <v>3511</v>
      </c>
      <c r="C67" s="18">
        <f>(3112.0/B67*100)</f>
        <v/>
      </c>
      <c r="D67" s="19" t="n">
        <v>399</v>
      </c>
      <c r="E67" s="18" t="n">
        <v>81.51500775</v>
      </c>
      <c r="F67" s="20" t="n">
        <v>2.01169814</v>
      </c>
      <c r="G67" s="18" t="n">
        <v>10.88519374</v>
      </c>
      <c r="H67" s="20" t="n">
        <v>1.50007657</v>
      </c>
      <c r="I67" s="18" t="s">
        <v>349</v>
      </c>
      <c r="J67" s="20" t="s">
        <v>349</v>
      </c>
      <c r="K67" s="18" t="n">
        <v>0</v>
      </c>
      <c r="L67" s="20" t="n">
        <v>0</v>
      </c>
      <c r="M67" s="18" t="n">
        <v>0</v>
      </c>
      <c r="N67" s="20" t="n">
        <v>0</v>
      </c>
      <c r="O67" s="18" t="n">
        <v>0</v>
      </c>
      <c r="P67" s="20" t="n">
        <v>0</v>
      </c>
      <c r="Q67" s="18" t="n">
        <v>7.5997985</v>
      </c>
      <c r="R67" s="20" t="n">
        <v>1.3829811</v>
      </c>
    </row>
    <row r="68" spans="1:18">
      <c r="A68" s="15" t="s">
        <v>410</v>
      </c>
      <c r="B68" s="17" t="n">
        <v>6049</v>
      </c>
      <c r="C68" s="18">
        <f>(5041.0/B68*100)</f>
        <v/>
      </c>
      <c r="D68" s="19" t="n">
        <v>1008</v>
      </c>
      <c r="E68" s="18" t="n">
        <v>70.36525869</v>
      </c>
      <c r="F68" s="20" t="n">
        <v>1.29399226</v>
      </c>
      <c r="G68" s="18" t="n">
        <v>17.25501885</v>
      </c>
      <c r="H68" s="20" t="n">
        <v>1.06408228</v>
      </c>
      <c r="I68" s="18" t="s">
        <v>349</v>
      </c>
      <c r="J68" s="20" t="s">
        <v>349</v>
      </c>
      <c r="K68" s="18" t="n">
        <v>3.44528496</v>
      </c>
      <c r="L68" s="20" t="n">
        <v>0.56020289</v>
      </c>
      <c r="M68" s="18" t="n">
        <v>0</v>
      </c>
      <c r="N68" s="20" t="n">
        <v>0</v>
      </c>
      <c r="O68" s="18" t="n">
        <v>0</v>
      </c>
      <c r="P68" s="20" t="n">
        <v>0</v>
      </c>
      <c r="Q68" s="18" t="n">
        <v>8.9344375</v>
      </c>
      <c r="R68" s="20" t="n">
        <v>0.91540743</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(2579.0/B70*100)</f>
        <v/>
      </c>
      <c r="D70" s="19" t="n">
        <v>350</v>
      </c>
      <c r="E70" s="18" t="n">
        <v>58.23883503</v>
      </c>
      <c r="F70" s="20" t="n">
        <v>3.0048642</v>
      </c>
      <c r="G70" s="18" t="n">
        <v>36.98775605</v>
      </c>
      <c r="H70" s="20" t="n">
        <v>3.19922649</v>
      </c>
      <c r="I70" s="18" t="s">
        <v>349</v>
      </c>
      <c r="J70" s="20" t="s">
        <v>349</v>
      </c>
      <c r="K70" s="18" t="n">
        <v>0.18674387</v>
      </c>
      <c r="L70" s="20" t="n">
        <v>0.18635597</v>
      </c>
      <c r="M70" s="18" t="n">
        <v>0</v>
      </c>
      <c r="N70" s="20" t="n">
        <v>0</v>
      </c>
      <c r="O70" s="18" t="n">
        <v>0</v>
      </c>
      <c r="P70" s="20" t="n">
        <v>0</v>
      </c>
      <c r="Q70" s="18" t="n">
        <v>4.58666505</v>
      </c>
      <c r="R70" s="20" t="n">
        <v>1.15943861</v>
      </c>
    </row>
    <row r="71" spans="1:18">
      <c r="A71" s="15" t="s">
        <v>413</v>
      </c>
      <c r="B71" s="17" t="n">
        <v>3142</v>
      </c>
      <c r="C71" s="18">
        <f>(2754.0/B71*100)</f>
        <v/>
      </c>
      <c r="D71" s="19" t="n">
        <v>388</v>
      </c>
      <c r="E71" s="18" t="n">
        <v>29.13145192</v>
      </c>
      <c r="F71" s="20" t="n">
        <v>2.28181959</v>
      </c>
      <c r="G71" s="18" t="n">
        <v>68.6904196</v>
      </c>
      <c r="H71" s="20" t="n">
        <v>2.34429539</v>
      </c>
      <c r="I71" s="18" t="s">
        <v>349</v>
      </c>
      <c r="J71" s="20" t="s">
        <v>349</v>
      </c>
      <c r="K71" s="18" t="n">
        <v>0.30756749</v>
      </c>
      <c r="L71" s="20" t="n">
        <v>0.21225236</v>
      </c>
      <c r="M71" s="18" t="n">
        <v>0</v>
      </c>
      <c r="N71" s="20" t="n">
        <v>0</v>
      </c>
      <c r="O71" s="18" t="n">
        <v>0</v>
      </c>
      <c r="P71" s="20" t="n">
        <v>0</v>
      </c>
      <c r="Q71" s="18" t="n">
        <v>1.87056099</v>
      </c>
      <c r="R71" s="20" t="n">
        <v>0.48963149</v>
      </c>
    </row>
    <row r="72" spans="1:18">
      <c r="A72" s="15" t="s">
        <v>414</v>
      </c>
      <c r="B72" s="17" t="n">
        <v>3889</v>
      </c>
      <c r="C72" s="18">
        <f>(3422.0/B72*100)</f>
        <v/>
      </c>
      <c r="D72" s="19" t="n">
        <v>467</v>
      </c>
      <c r="E72" s="18" t="n">
        <v>50.7710234</v>
      </c>
      <c r="F72" s="20" t="n">
        <v>2.41645809</v>
      </c>
      <c r="G72" s="18" t="n">
        <v>46.82993237</v>
      </c>
      <c r="H72" s="20" t="n">
        <v>2.32838866</v>
      </c>
      <c r="I72" s="18" t="s">
        <v>349</v>
      </c>
      <c r="J72" s="20" t="s">
        <v>349</v>
      </c>
      <c r="K72" s="18" t="n">
        <v>0</v>
      </c>
      <c r="L72" s="20" t="n">
        <v>0</v>
      </c>
      <c r="M72" s="18" t="n">
        <v>0</v>
      </c>
      <c r="N72" s="20" t="n">
        <v>0</v>
      </c>
      <c r="O72" s="18" t="n">
        <v>0</v>
      </c>
      <c r="P72" s="20" t="n">
        <v>0</v>
      </c>
      <c r="Q72" s="18" t="n">
        <v>2.39904423</v>
      </c>
      <c r="R72" s="20" t="n">
        <v>0.67843537</v>
      </c>
    </row>
    <row r="73" spans="1:18">
      <c r="A73" s="15" t="s">
        <v>415</v>
      </c>
      <c r="B73" s="17" t="n">
        <v>3597</v>
      </c>
      <c r="C73" s="18">
        <f>(3174.0/B73*100)</f>
        <v/>
      </c>
      <c r="D73" s="19" t="n">
        <v>423</v>
      </c>
      <c r="E73" s="18" t="n">
        <v>84.72885107</v>
      </c>
      <c r="F73" s="20" t="n">
        <v>1.75881372</v>
      </c>
      <c r="G73" s="18" t="n">
        <v>12.81079108</v>
      </c>
      <c r="H73" s="20" t="n">
        <v>1.7021407</v>
      </c>
      <c r="I73" s="18" t="s">
        <v>349</v>
      </c>
      <c r="J73" s="20" t="s">
        <v>349</v>
      </c>
      <c r="K73" s="18" t="n">
        <v>0</v>
      </c>
      <c r="L73" s="20" t="n">
        <v>0</v>
      </c>
      <c r="M73" s="18" t="n">
        <v>0</v>
      </c>
      <c r="N73" s="20" t="n">
        <v>0</v>
      </c>
      <c r="O73" s="18" t="n">
        <v>0</v>
      </c>
      <c r="P73" s="20" t="n">
        <v>0</v>
      </c>
      <c r="Q73" s="18" t="n">
        <v>2.46035785</v>
      </c>
      <c r="R73" s="20" t="n">
        <v>0.89830615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(2138.0/B75*100)</f>
        <v/>
      </c>
      <c r="D75" s="19" t="n">
        <v>268</v>
      </c>
      <c r="E75" s="18" t="n">
        <v>76.92301864</v>
      </c>
      <c r="F75" s="20" t="n">
        <v>2.65059818</v>
      </c>
      <c r="G75" s="18" t="n">
        <v>8.06084444</v>
      </c>
      <c r="H75" s="20" t="n">
        <v>1.68787438</v>
      </c>
      <c r="I75" s="18" t="s">
        <v>349</v>
      </c>
      <c r="J75" s="20" t="s">
        <v>349</v>
      </c>
      <c r="K75" s="18" t="n">
        <v>3.07410075</v>
      </c>
      <c r="L75" s="20" t="n">
        <v>1.03729939</v>
      </c>
      <c r="M75" s="18" t="n">
        <v>0</v>
      </c>
      <c r="N75" s="20" t="n">
        <v>0</v>
      </c>
      <c r="O75" s="18" t="n">
        <v>0</v>
      </c>
      <c r="P75" s="20" t="n">
        <v>0</v>
      </c>
      <c r="Q75" s="18" t="n">
        <v>11.94203617</v>
      </c>
      <c r="R75" s="20" t="n">
        <v>1.92008691</v>
      </c>
    </row>
    <row r="76" spans="1:18">
      <c r="A76" s="15" t="s">
        <v>418</v>
      </c>
      <c r="B76" s="17" t="n">
        <v>7052</v>
      </c>
      <c r="C76" s="18">
        <f>(6174.0/B76*100)</f>
        <v/>
      </c>
      <c r="D76" s="19" t="n">
        <v>878</v>
      </c>
      <c r="E76" s="18" t="n">
        <v>69.48569813</v>
      </c>
      <c r="F76" s="20" t="n">
        <v>2.01807194</v>
      </c>
      <c r="G76" s="18" t="n">
        <v>25.97598122</v>
      </c>
      <c r="H76" s="20" t="n">
        <v>2.02755842</v>
      </c>
      <c r="I76" s="18" t="s">
        <v>349</v>
      </c>
      <c r="J76" s="20" t="s">
        <v>349</v>
      </c>
      <c r="K76" s="18" t="n">
        <v>0.75246233</v>
      </c>
      <c r="L76" s="20" t="n">
        <v>0.34792368</v>
      </c>
      <c r="M76" s="18" t="n">
        <v>0</v>
      </c>
      <c r="N76" s="20" t="n">
        <v>0</v>
      </c>
      <c r="O76" s="18" t="n">
        <v>0</v>
      </c>
      <c r="P76" s="20" t="n">
        <v>0</v>
      </c>
      <c r="Q76" s="18" t="n">
        <v>3.78585832</v>
      </c>
      <c r="R76" s="20" t="n">
        <v>0.90531935</v>
      </c>
    </row>
    <row r="77" spans="1:18">
      <c r="A77" s="15" t="s">
        <v>419</v>
      </c>
      <c r="B77" s="17" t="n">
        <v>2908</v>
      </c>
      <c r="C77" s="18">
        <f>(2573.0/B77*100)</f>
        <v/>
      </c>
      <c r="D77" s="19" t="n">
        <v>335</v>
      </c>
      <c r="E77" s="18" t="n">
        <v>57.96512151</v>
      </c>
      <c r="F77" s="20" t="n">
        <v>3.29019897</v>
      </c>
      <c r="G77" s="18" t="n">
        <v>23.14103306</v>
      </c>
      <c r="H77" s="20" t="n">
        <v>2.85910528</v>
      </c>
      <c r="I77" s="18" t="s">
        <v>349</v>
      </c>
      <c r="J77" s="20" t="s">
        <v>349</v>
      </c>
      <c r="K77" s="18" t="n">
        <v>1.45088147</v>
      </c>
      <c r="L77" s="20" t="n">
        <v>0.7688460499999999</v>
      </c>
      <c r="M77" s="18" t="n">
        <v>0</v>
      </c>
      <c r="N77" s="20" t="n">
        <v>0</v>
      </c>
      <c r="O77" s="18" t="n">
        <v>0</v>
      </c>
      <c r="P77" s="20" t="n">
        <v>0</v>
      </c>
      <c r="Q77" s="18" t="n">
        <v>17.44296396</v>
      </c>
      <c r="R77" s="20" t="n">
        <v>2.4349007</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(3653.0/B81*100)</f>
        <v/>
      </c>
      <c r="D81" s="19" t="n">
        <v>510</v>
      </c>
      <c r="E81" s="18" t="n">
        <v>71.06984755000001</v>
      </c>
      <c r="F81" s="20" t="n">
        <v>2.70864387</v>
      </c>
      <c r="G81" s="18" t="n">
        <v>27.48254636</v>
      </c>
      <c r="H81" s="20" t="n">
        <v>2.62985056</v>
      </c>
      <c r="I81" s="18" t="s">
        <v>349</v>
      </c>
      <c r="J81" s="20" t="s">
        <v>349</v>
      </c>
      <c r="K81" s="18" t="n">
        <v>0.29747954</v>
      </c>
      <c r="L81" s="20" t="n">
        <v>0.27956224</v>
      </c>
      <c r="M81" s="18" t="n">
        <v>0</v>
      </c>
      <c r="N81" s="20" t="n">
        <v>0</v>
      </c>
      <c r="O81" s="18" t="n">
        <v>0</v>
      </c>
      <c r="P81" s="20" t="n">
        <v>0</v>
      </c>
      <c r="Q81" s="18" t="n">
        <v>1.15012654</v>
      </c>
      <c r="R81" s="20" t="n">
        <v>0.56896315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(6457.0/B7*100)</f>
        <v/>
      </c>
      <c r="D7" s="19" t="n">
        <v>910</v>
      </c>
      <c r="E7" s="18" t="n">
        <v>49.79098961</v>
      </c>
      <c r="F7" s="20" t="n">
        <v>2.08704162</v>
      </c>
      <c r="G7" s="18" t="n">
        <v>45.86894891</v>
      </c>
      <c r="H7" s="20" t="n">
        <v>2.15139397</v>
      </c>
      <c r="I7" s="18" t="s">
        <v>349</v>
      </c>
      <c r="J7" s="20" t="s">
        <v>349</v>
      </c>
      <c r="K7" s="18" t="n">
        <v>1.91745916</v>
      </c>
      <c r="L7" s="20" t="n">
        <v>0.59384633</v>
      </c>
      <c r="M7" s="18" t="n">
        <v>0</v>
      </c>
      <c r="N7" s="20" t="n">
        <v>0</v>
      </c>
      <c r="O7" s="18" t="n">
        <v>0</v>
      </c>
      <c r="P7" s="20" t="n">
        <v>0</v>
      </c>
      <c r="Q7" s="18" t="n">
        <v>2.42260232</v>
      </c>
      <c r="R7" s="20" t="n">
        <v>0.55540511</v>
      </c>
    </row>
    <row r="8" spans="1:18">
      <c r="A8" s="15" t="s">
        <v>350</v>
      </c>
      <c r="B8" s="17" t="n">
        <v>3564</v>
      </c>
      <c r="C8" s="18">
        <f>(3135.0/B8*100)</f>
        <v/>
      </c>
      <c r="D8" s="19" t="n">
        <v>429</v>
      </c>
      <c r="E8" s="18" t="n">
        <v>46.04512189</v>
      </c>
      <c r="F8" s="20" t="n">
        <v>2.37779286</v>
      </c>
      <c r="G8" s="18" t="n">
        <v>50.70225038</v>
      </c>
      <c r="H8" s="20" t="n">
        <v>2.43984887</v>
      </c>
      <c r="I8" s="18" t="s">
        <v>349</v>
      </c>
      <c r="J8" s="20" t="s">
        <v>349</v>
      </c>
      <c r="K8" s="18" t="n">
        <v>0.40486615</v>
      </c>
      <c r="L8" s="20" t="n">
        <v>0.24564093</v>
      </c>
      <c r="M8" s="18" t="n">
        <v>0</v>
      </c>
      <c r="N8" s="20" t="n">
        <v>0</v>
      </c>
      <c r="O8" s="18" t="n">
        <v>0</v>
      </c>
      <c r="P8" s="20" t="n">
        <v>0</v>
      </c>
      <c r="Q8" s="18" t="n">
        <v>2.84776158</v>
      </c>
      <c r="R8" s="20" t="n">
        <v>0.96935573</v>
      </c>
    </row>
    <row r="9" spans="1:18">
      <c r="A9" s="15" t="s">
        <v>351</v>
      </c>
      <c r="B9" s="17" t="n">
        <v>4899</v>
      </c>
      <c r="C9" s="18">
        <f>(4335.0/B9*100)</f>
        <v/>
      </c>
      <c r="D9" s="19" t="n">
        <v>564</v>
      </c>
      <c r="E9" s="18" t="n">
        <v>51.61588533</v>
      </c>
      <c r="F9" s="20" t="n">
        <v>2.25083544</v>
      </c>
      <c r="G9" s="18" t="n">
        <v>45.28338616</v>
      </c>
      <c r="H9" s="20" t="n">
        <v>2.30430521</v>
      </c>
      <c r="I9" s="18" t="s">
        <v>349</v>
      </c>
      <c r="J9" s="20" t="s">
        <v>349</v>
      </c>
      <c r="K9" s="18" t="n">
        <v>0.45792918</v>
      </c>
      <c r="L9" s="20" t="n">
        <v>0.26512691</v>
      </c>
      <c r="M9" s="18" t="n">
        <v>0</v>
      </c>
      <c r="N9" s="20" t="n">
        <v>0</v>
      </c>
      <c r="O9" s="18" t="n">
        <v>0</v>
      </c>
      <c r="P9" s="20" t="n">
        <v>0</v>
      </c>
      <c r="Q9" s="18" t="n">
        <v>2.64279933</v>
      </c>
      <c r="R9" s="20" t="n">
        <v>0.91554099</v>
      </c>
    </row>
    <row r="10" spans="1:18">
      <c r="A10" s="15" t="s">
        <v>352</v>
      </c>
      <c r="B10" s="17" t="n">
        <v>10036</v>
      </c>
      <c r="C10" s="18">
        <f>(8812.0/B10*100)</f>
        <v/>
      </c>
      <c r="D10" s="19" t="n">
        <v>1224</v>
      </c>
      <c r="E10" s="18" t="n">
        <v>49.97576018</v>
      </c>
      <c r="F10" s="20" t="n">
        <v>2.00592944</v>
      </c>
      <c r="G10" s="18" t="n">
        <v>49.0844804</v>
      </c>
      <c r="H10" s="20" t="n">
        <v>2.0239835</v>
      </c>
      <c r="I10" s="18" t="s">
        <v>349</v>
      </c>
      <c r="J10" s="20" t="s">
        <v>349</v>
      </c>
      <c r="K10" s="18" t="n">
        <v>0.20867671</v>
      </c>
      <c r="L10" s="20" t="n">
        <v>0.10519741</v>
      </c>
      <c r="M10" s="18" t="n">
        <v>0</v>
      </c>
      <c r="N10" s="20" t="n">
        <v>0</v>
      </c>
      <c r="O10" s="18" t="n">
        <v>0</v>
      </c>
      <c r="P10" s="20" t="n">
        <v>0</v>
      </c>
      <c r="Q10" s="18" t="n">
        <v>0.73108271</v>
      </c>
      <c r="R10" s="20" t="n">
        <v>0.31015931</v>
      </c>
    </row>
    <row r="11" spans="1:18">
      <c r="A11" s="15" t="s">
        <v>353</v>
      </c>
      <c r="B11" s="17" t="n">
        <v>3553</v>
      </c>
      <c r="C11" s="18">
        <f>(3128.0/B11*100)</f>
        <v/>
      </c>
      <c r="D11" s="19" t="n">
        <v>425</v>
      </c>
      <c r="E11" s="18" t="n">
        <v>68.94503792</v>
      </c>
      <c r="F11" s="20" t="n">
        <v>2.69605891</v>
      </c>
      <c r="G11" s="18" t="n">
        <v>26.31330447</v>
      </c>
      <c r="H11" s="20" t="n">
        <v>2.46875346</v>
      </c>
      <c r="I11" s="18" t="s">
        <v>349</v>
      </c>
      <c r="J11" s="20" t="s">
        <v>349</v>
      </c>
      <c r="K11" s="18" t="n">
        <v>1.63353956</v>
      </c>
      <c r="L11" s="20" t="n">
        <v>0.66374012</v>
      </c>
      <c r="M11" s="18" t="n">
        <v>0</v>
      </c>
      <c r="N11" s="20" t="n">
        <v>0</v>
      </c>
      <c r="O11" s="18" t="n">
        <v>0</v>
      </c>
      <c r="P11" s="20" t="n">
        <v>0</v>
      </c>
      <c r="Q11" s="18" t="n">
        <v>3.10811805</v>
      </c>
      <c r="R11" s="20" t="n">
        <v>1.08812758</v>
      </c>
    </row>
    <row r="12" spans="1:18">
      <c r="A12" s="15" t="s">
        <v>354</v>
      </c>
      <c r="B12" s="17" t="n">
        <v>3472</v>
      </c>
      <c r="C12" s="18">
        <f>(3072.0/B12*100)</f>
        <v/>
      </c>
      <c r="D12" s="19" t="n">
        <v>400</v>
      </c>
      <c r="E12" s="18" t="n">
        <v>56.33476786</v>
      </c>
      <c r="F12" s="20" t="n">
        <v>2.57745372</v>
      </c>
      <c r="G12" s="18" t="n">
        <v>41.47255704</v>
      </c>
      <c r="H12" s="20" t="n">
        <v>2.57655041</v>
      </c>
      <c r="I12" s="18" t="s">
        <v>349</v>
      </c>
      <c r="J12" s="20" t="s">
        <v>349</v>
      </c>
      <c r="K12" s="18" t="n">
        <v>0.12455446</v>
      </c>
      <c r="L12" s="20" t="n">
        <v>0.12476796</v>
      </c>
      <c r="M12" s="18" t="n">
        <v>0</v>
      </c>
      <c r="N12" s="20" t="n">
        <v>0</v>
      </c>
      <c r="O12" s="18" t="n">
        <v>0</v>
      </c>
      <c r="P12" s="20" t="n">
        <v>0</v>
      </c>
      <c r="Q12" s="18" t="n">
        <v>2.06812064</v>
      </c>
      <c r="R12" s="20" t="n">
        <v>0.75666036</v>
      </c>
    </row>
    <row r="13" spans="1:18">
      <c r="A13" s="15" t="s">
        <v>355</v>
      </c>
      <c r="B13" s="17" t="n">
        <v>3559</v>
      </c>
      <c r="C13" s="18">
        <f>(3139.0/B13*100)</f>
        <v/>
      </c>
      <c r="D13" s="19" t="n">
        <v>420</v>
      </c>
      <c r="E13" s="18" t="n">
        <v>52.935139</v>
      </c>
      <c r="F13" s="20" t="n">
        <v>3.02048426</v>
      </c>
      <c r="G13" s="18" t="n">
        <v>44.30233474</v>
      </c>
      <c r="H13" s="20" t="n">
        <v>2.94327692</v>
      </c>
      <c r="I13" s="18" t="s">
        <v>349</v>
      </c>
      <c r="J13" s="20" t="s">
        <v>349</v>
      </c>
      <c r="K13" s="18" t="n">
        <v>0.7673859200000001</v>
      </c>
      <c r="L13" s="20" t="n">
        <v>0.5957952</v>
      </c>
      <c r="M13" s="18" t="n">
        <v>0</v>
      </c>
      <c r="N13" s="20" t="n">
        <v>0</v>
      </c>
      <c r="O13" s="18" t="n">
        <v>0</v>
      </c>
      <c r="P13" s="20" t="n">
        <v>0</v>
      </c>
      <c r="Q13" s="18" t="n">
        <v>1.99514034</v>
      </c>
      <c r="R13" s="20" t="n">
        <v>0.86399108</v>
      </c>
    </row>
    <row r="14" spans="1:18">
      <c r="A14" s="15" t="s">
        <v>356</v>
      </c>
      <c r="B14" s="17" t="n">
        <v>2799</v>
      </c>
      <c r="C14" s="18">
        <f>(2456.0/B14*100)</f>
        <v/>
      </c>
      <c r="D14" s="19" t="n">
        <v>343</v>
      </c>
      <c r="E14" s="18" t="n">
        <v>49.91593433</v>
      </c>
      <c r="F14" s="20" t="n">
        <v>3.11839927</v>
      </c>
      <c r="G14" s="18" t="n">
        <v>49.16073921</v>
      </c>
      <c r="H14" s="20" t="n">
        <v>3.12111651</v>
      </c>
      <c r="I14" s="18" t="s">
        <v>349</v>
      </c>
      <c r="J14" s="20" t="s">
        <v>349</v>
      </c>
      <c r="K14" s="18" t="n">
        <v>0</v>
      </c>
      <c r="L14" s="20" t="n">
        <v>0</v>
      </c>
      <c r="M14" s="18" t="n">
        <v>0</v>
      </c>
      <c r="N14" s="20" t="n">
        <v>0</v>
      </c>
      <c r="O14" s="18" t="n">
        <v>0</v>
      </c>
      <c r="P14" s="20" t="n">
        <v>0</v>
      </c>
      <c r="Q14" s="18" t="n">
        <v>0.92332646</v>
      </c>
      <c r="R14" s="20" t="n">
        <v>0.70150296</v>
      </c>
    </row>
    <row r="15" spans="1:18">
      <c r="A15" s="15" t="s">
        <v>357</v>
      </c>
      <c r="B15" s="17" t="n">
        <v>3019</v>
      </c>
      <c r="C15" s="18">
        <f>(2668.0/B15*100)</f>
        <v/>
      </c>
      <c r="D15" s="19" t="n">
        <v>351</v>
      </c>
      <c r="E15" s="18" t="n">
        <v>53.12126784</v>
      </c>
      <c r="F15" s="20" t="n">
        <v>2.94843649</v>
      </c>
      <c r="G15" s="18" t="n">
        <v>44.56212595</v>
      </c>
      <c r="H15" s="20" t="n">
        <v>2.88195877</v>
      </c>
      <c r="I15" s="18" t="s">
        <v>349</v>
      </c>
      <c r="J15" s="20" t="s">
        <v>349</v>
      </c>
      <c r="K15" s="18" t="n">
        <v>0</v>
      </c>
      <c r="L15" s="20" t="n">
        <v>0</v>
      </c>
      <c r="M15" s="18" t="n">
        <v>0</v>
      </c>
      <c r="N15" s="20" t="n">
        <v>0</v>
      </c>
      <c r="O15" s="18" t="n">
        <v>0</v>
      </c>
      <c r="P15" s="20" t="n">
        <v>0</v>
      </c>
      <c r="Q15" s="18" t="n">
        <v>2.31660621</v>
      </c>
      <c r="R15" s="20" t="n">
        <v>0.9350248799999999</v>
      </c>
    </row>
    <row r="16" spans="1:18">
      <c r="A16" s="15" t="s">
        <v>358</v>
      </c>
      <c r="B16" s="17" t="n">
        <v>2997</v>
      </c>
      <c r="C16" s="18">
        <f>(2614.0/B16*100)</f>
        <v/>
      </c>
      <c r="D16" s="19" t="n">
        <v>383</v>
      </c>
      <c r="E16" s="18" t="n">
        <v>65.00725835999999</v>
      </c>
      <c r="F16" s="20" t="n">
        <v>2.18878652</v>
      </c>
      <c r="G16" s="18" t="n">
        <v>31.02146165</v>
      </c>
      <c r="H16" s="20" t="n">
        <v>2.24452346</v>
      </c>
      <c r="I16" s="18" t="s">
        <v>349</v>
      </c>
      <c r="J16" s="20" t="s">
        <v>349</v>
      </c>
      <c r="K16" s="18" t="n">
        <v>1.02214867</v>
      </c>
      <c r="L16" s="20" t="n">
        <v>0.53845728</v>
      </c>
      <c r="M16" s="18" t="n">
        <v>0</v>
      </c>
      <c r="N16" s="20" t="n">
        <v>0</v>
      </c>
      <c r="O16" s="18" t="n">
        <v>0</v>
      </c>
      <c r="P16" s="20" t="n">
        <v>0</v>
      </c>
      <c r="Q16" s="18" t="n">
        <v>2.94913132</v>
      </c>
      <c r="R16" s="20" t="n">
        <v>0.80383118</v>
      </c>
    </row>
    <row r="17" spans="1:18">
      <c r="A17" s="15" t="s">
        <v>359</v>
      </c>
      <c r="B17" s="17" t="n">
        <v>3307</v>
      </c>
      <c r="C17" s="18">
        <f>(2913.0/B17*100)</f>
        <v/>
      </c>
      <c r="D17" s="19" t="n">
        <v>394</v>
      </c>
      <c r="E17" s="18" t="n">
        <v>48.01051836</v>
      </c>
      <c r="F17" s="20" t="n">
        <v>2.82582456</v>
      </c>
      <c r="G17" s="18" t="n">
        <v>48.18474913</v>
      </c>
      <c r="H17" s="20" t="n">
        <v>3.11915245</v>
      </c>
      <c r="I17" s="18" t="s">
        <v>349</v>
      </c>
      <c r="J17" s="20" t="s">
        <v>349</v>
      </c>
      <c r="K17" s="18" t="n">
        <v>0.93485801</v>
      </c>
      <c r="L17" s="20" t="n">
        <v>0.33126985</v>
      </c>
      <c r="M17" s="18" t="n">
        <v>0</v>
      </c>
      <c r="N17" s="20" t="n">
        <v>0</v>
      </c>
      <c r="O17" s="18" t="n">
        <v>0</v>
      </c>
      <c r="P17" s="20" t="n">
        <v>0</v>
      </c>
      <c r="Q17" s="18" t="n">
        <v>2.8698745</v>
      </c>
      <c r="R17" s="20" t="n">
        <v>0.97080444</v>
      </c>
    </row>
    <row r="18" spans="1:18">
      <c r="A18" s="15" t="s">
        <v>360</v>
      </c>
      <c r="B18" s="17" t="n">
        <v>2826</v>
      </c>
      <c r="C18" s="18">
        <f>(2482.0/B18*100)</f>
        <v/>
      </c>
      <c r="D18" s="19" t="n">
        <v>344</v>
      </c>
      <c r="E18" s="18" t="n">
        <v>51.4719257</v>
      </c>
      <c r="F18" s="20" t="n">
        <v>3.30042304</v>
      </c>
      <c r="G18" s="18" t="n">
        <v>45.85567111</v>
      </c>
      <c r="H18" s="20" t="n">
        <v>3.34712027</v>
      </c>
      <c r="I18" s="18" t="s">
        <v>349</v>
      </c>
      <c r="J18" s="20" t="s">
        <v>349</v>
      </c>
      <c r="K18" s="18" t="n">
        <v>0.29699952</v>
      </c>
      <c r="L18" s="20" t="n">
        <v>0.29852447</v>
      </c>
      <c r="M18" s="18" t="n">
        <v>0</v>
      </c>
      <c r="N18" s="20" t="n">
        <v>0</v>
      </c>
      <c r="O18" s="18" t="n">
        <v>0</v>
      </c>
      <c r="P18" s="20" t="n">
        <v>0</v>
      </c>
      <c r="Q18" s="18" t="n">
        <v>2.37540368</v>
      </c>
      <c r="R18" s="20" t="n">
        <v>1.25200827</v>
      </c>
    </row>
    <row r="19" spans="1:18">
      <c r="A19" s="15" t="s">
        <v>361</v>
      </c>
      <c r="B19" s="17" t="n">
        <v>2808</v>
      </c>
      <c r="C19" s="18">
        <f>(2476.0/B19*100)</f>
        <v/>
      </c>
      <c r="D19" s="19" t="n">
        <v>332</v>
      </c>
      <c r="E19" s="18" t="n">
        <v>58.40795921</v>
      </c>
      <c r="F19" s="20" t="n">
        <v>3.0438627</v>
      </c>
      <c r="G19" s="18" t="n">
        <v>39.24833341</v>
      </c>
      <c r="H19" s="20" t="n">
        <v>2.8679747</v>
      </c>
      <c r="I19" s="18" t="s">
        <v>349</v>
      </c>
      <c r="J19" s="20" t="s">
        <v>349</v>
      </c>
      <c r="K19" s="18" t="n">
        <v>0.70546731</v>
      </c>
      <c r="L19" s="20" t="n">
        <v>0.66494434</v>
      </c>
      <c r="M19" s="18" t="n">
        <v>0</v>
      </c>
      <c r="N19" s="20" t="n">
        <v>0</v>
      </c>
      <c r="O19" s="18" t="n">
        <v>0</v>
      </c>
      <c r="P19" s="20" t="n">
        <v>0</v>
      </c>
      <c r="Q19" s="18" t="n">
        <v>1.63824007</v>
      </c>
      <c r="R19" s="20" t="n">
        <v>0.54729502</v>
      </c>
    </row>
    <row r="20" spans="1:18">
      <c r="A20" s="15" t="s">
        <v>362</v>
      </c>
      <c r="B20" s="17" t="n">
        <v>1630</v>
      </c>
      <c r="C20" s="18">
        <f>(1422.0/B20*100)</f>
        <v/>
      </c>
      <c r="D20" s="19" t="n">
        <v>208</v>
      </c>
      <c r="E20" s="18" t="n">
        <v>53.97176489</v>
      </c>
      <c r="F20" s="20" t="n">
        <v>3.48022373</v>
      </c>
      <c r="G20" s="18" t="n">
        <v>42.6698546</v>
      </c>
      <c r="H20" s="20" t="n">
        <v>3.27447434</v>
      </c>
      <c r="I20" s="18" t="s">
        <v>349</v>
      </c>
      <c r="J20" s="20" t="s">
        <v>349</v>
      </c>
      <c r="K20" s="18" t="n">
        <v>0.98746196</v>
      </c>
      <c r="L20" s="20" t="n">
        <v>0.7334459</v>
      </c>
      <c r="M20" s="18" t="n">
        <v>0</v>
      </c>
      <c r="N20" s="20" t="n">
        <v>0</v>
      </c>
      <c r="O20" s="18" t="n">
        <v>0</v>
      </c>
      <c r="P20" s="20" t="n">
        <v>0</v>
      </c>
      <c r="Q20" s="18" t="n">
        <v>2.37091856</v>
      </c>
      <c r="R20" s="20" t="n">
        <v>1.02445733</v>
      </c>
    </row>
    <row r="21" spans="1:18">
      <c r="A21" s="15" t="s">
        <v>363</v>
      </c>
      <c r="B21" s="17" t="n">
        <v>2908</v>
      </c>
      <c r="C21" s="18">
        <f>(2438.0/B21*100)</f>
        <v/>
      </c>
      <c r="D21" s="19" t="n">
        <v>470</v>
      </c>
      <c r="E21" s="18" t="n">
        <v>48.67060705</v>
      </c>
      <c r="F21" s="20" t="n">
        <v>2.38057541</v>
      </c>
      <c r="G21" s="18" t="n">
        <v>50.28628024</v>
      </c>
      <c r="H21" s="20" t="n">
        <v>2.41271767</v>
      </c>
      <c r="I21" s="18" t="s">
        <v>349</v>
      </c>
      <c r="J21" s="20" t="s">
        <v>349</v>
      </c>
      <c r="K21" s="18" t="n">
        <v>0.16837514</v>
      </c>
      <c r="L21" s="20" t="n">
        <v>0.16892145</v>
      </c>
      <c r="M21" s="18" t="n">
        <v>0</v>
      </c>
      <c r="N21" s="20" t="n">
        <v>0</v>
      </c>
      <c r="O21" s="18" t="n">
        <v>0</v>
      </c>
      <c r="P21" s="20" t="n">
        <v>0</v>
      </c>
      <c r="Q21" s="18" t="n">
        <v>0.87473758</v>
      </c>
      <c r="R21" s="20" t="n">
        <v>0.4196959</v>
      </c>
    </row>
    <row r="22" spans="1:18">
      <c r="A22" s="15" t="s">
        <v>364</v>
      </c>
      <c r="B22" s="17" t="n">
        <v>2931</v>
      </c>
      <c r="C22" s="18">
        <f>(2581.0/B22*100)</f>
        <v/>
      </c>
      <c r="D22" s="19" t="n">
        <v>350</v>
      </c>
      <c r="E22" s="18" t="n">
        <v>52.03411507</v>
      </c>
      <c r="F22" s="20" t="n">
        <v>2.93802843</v>
      </c>
      <c r="G22" s="18" t="n">
        <v>43.85182986</v>
      </c>
      <c r="H22" s="20" t="n">
        <v>2.8879036</v>
      </c>
      <c r="I22" s="18" t="s">
        <v>349</v>
      </c>
      <c r="J22" s="20" t="s">
        <v>349</v>
      </c>
      <c r="K22" s="18" t="n">
        <v>0.42575205</v>
      </c>
      <c r="L22" s="20" t="n">
        <v>0.30146643</v>
      </c>
      <c r="M22" s="18" t="n">
        <v>0</v>
      </c>
      <c r="N22" s="20" t="n">
        <v>0</v>
      </c>
      <c r="O22" s="18" t="n">
        <v>0</v>
      </c>
      <c r="P22" s="20" t="n">
        <v>0</v>
      </c>
      <c r="Q22" s="18" t="n">
        <v>3.68830302</v>
      </c>
      <c r="R22" s="20" t="n">
        <v>1.01788317</v>
      </c>
    </row>
    <row r="23" spans="1:18">
      <c r="A23" s="15" t="s">
        <v>365</v>
      </c>
      <c r="B23" s="17" t="n">
        <v>5791</v>
      </c>
      <c r="C23" s="18">
        <f>(5101.0/B23*100)</f>
        <v/>
      </c>
      <c r="D23" s="19" t="n">
        <v>690</v>
      </c>
      <c r="E23" s="18" t="n">
        <v>55.69101313</v>
      </c>
      <c r="F23" s="20" t="n">
        <v>2.57339069</v>
      </c>
      <c r="G23" s="18" t="n">
        <v>41.65020447</v>
      </c>
      <c r="H23" s="20" t="n">
        <v>2.56607937</v>
      </c>
      <c r="I23" s="18" t="s">
        <v>349</v>
      </c>
      <c r="J23" s="20" t="s">
        <v>349</v>
      </c>
      <c r="K23" s="18" t="n">
        <v>0.37188287</v>
      </c>
      <c r="L23" s="20" t="n">
        <v>0.35373843</v>
      </c>
      <c r="M23" s="18" t="n">
        <v>0</v>
      </c>
      <c r="N23" s="20" t="n">
        <v>0</v>
      </c>
      <c r="O23" s="18" t="n">
        <v>0</v>
      </c>
      <c r="P23" s="20" t="n">
        <v>0</v>
      </c>
      <c r="Q23" s="18" t="n">
        <v>2.28689953</v>
      </c>
      <c r="R23" s="20" t="n">
        <v>0.78342238</v>
      </c>
    </row>
    <row r="24" spans="1:18">
      <c r="A24" s="15" t="s">
        <v>366</v>
      </c>
      <c r="B24" s="17" t="n">
        <v>3338</v>
      </c>
      <c r="C24" s="18">
        <f>(2934.0/B24*100)</f>
        <v/>
      </c>
      <c r="D24" s="19" t="n">
        <v>404</v>
      </c>
      <c r="E24" s="18" t="n">
        <v>40.10772475</v>
      </c>
      <c r="F24" s="20" t="n">
        <v>2.68914787</v>
      </c>
      <c r="G24" s="18" t="n">
        <v>58.468987</v>
      </c>
      <c r="H24" s="20" t="n">
        <v>2.63124614</v>
      </c>
      <c r="I24" s="18" t="s">
        <v>349</v>
      </c>
      <c r="J24" s="20" t="s">
        <v>349</v>
      </c>
      <c r="K24" s="18" t="n">
        <v>0.47972025</v>
      </c>
      <c r="L24" s="20" t="n">
        <v>0.34038999</v>
      </c>
      <c r="M24" s="18" t="n">
        <v>0</v>
      </c>
      <c r="N24" s="20" t="n">
        <v>0</v>
      </c>
      <c r="O24" s="18" t="n">
        <v>0</v>
      </c>
      <c r="P24" s="20" t="n">
        <v>0</v>
      </c>
      <c r="Q24" s="18" t="n">
        <v>0.943568</v>
      </c>
      <c r="R24" s="20" t="n">
        <v>0.43584131</v>
      </c>
    </row>
    <row r="25" spans="1:18">
      <c r="A25" s="15" t="s">
        <v>367</v>
      </c>
      <c r="B25" s="17" t="n">
        <v>2912</v>
      </c>
      <c r="C25" s="18">
        <f>(2547.0/B25*100)</f>
        <v/>
      </c>
      <c r="D25" s="19" t="n">
        <v>365</v>
      </c>
      <c r="E25" s="18" t="n">
        <v>48.84235857</v>
      </c>
      <c r="F25" s="20" t="n">
        <v>2.9909728</v>
      </c>
      <c r="G25" s="18" t="n">
        <v>49.75533325</v>
      </c>
      <c r="H25" s="20" t="n">
        <v>3.01856358</v>
      </c>
      <c r="I25" s="18" t="s">
        <v>349</v>
      </c>
      <c r="J25" s="20" t="s">
        <v>349</v>
      </c>
      <c r="K25" s="18" t="n">
        <v>0.54099728</v>
      </c>
      <c r="L25" s="20" t="n">
        <v>0.38452429</v>
      </c>
      <c r="M25" s="18" t="n">
        <v>0</v>
      </c>
      <c r="N25" s="20" t="n">
        <v>0</v>
      </c>
      <c r="O25" s="18" t="n">
        <v>0</v>
      </c>
      <c r="P25" s="20" t="n">
        <v>0</v>
      </c>
      <c r="Q25" s="18" t="n">
        <v>0.8613109</v>
      </c>
      <c r="R25" s="20" t="n">
        <v>0.5056583</v>
      </c>
    </row>
    <row r="26" spans="1:18">
      <c r="A26" s="15" t="s">
        <v>368</v>
      </c>
      <c r="B26" s="17" t="n">
        <v>2450</v>
      </c>
      <c r="C26" s="18">
        <f>(2164.0/B26*100)</f>
        <v/>
      </c>
      <c r="D26" s="19" t="n">
        <v>286</v>
      </c>
      <c r="E26" s="18" t="n">
        <v>64.81737994</v>
      </c>
      <c r="F26" s="20" t="n">
        <v>3.04807436</v>
      </c>
      <c r="G26" s="18" t="n">
        <v>35.18262006</v>
      </c>
      <c r="H26" s="20" t="n">
        <v>3.04807436</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(2304.0/B27*100)</f>
        <v/>
      </c>
      <c r="D27" s="19" t="n">
        <v>312</v>
      </c>
      <c r="E27" s="18" t="n">
        <v>52.32833792</v>
      </c>
      <c r="F27" s="20" t="n">
        <v>2.93302707</v>
      </c>
      <c r="G27" s="18" t="n">
        <v>44.1180042</v>
      </c>
      <c r="H27" s="20" t="n">
        <v>2.97054523</v>
      </c>
      <c r="I27" s="18" t="s">
        <v>349</v>
      </c>
      <c r="J27" s="20" t="s">
        <v>349</v>
      </c>
      <c r="K27" s="18" t="n">
        <v>0.96975518</v>
      </c>
      <c r="L27" s="20" t="n">
        <v>0.56184046</v>
      </c>
      <c r="M27" s="18" t="n">
        <v>0</v>
      </c>
      <c r="N27" s="20" t="n">
        <v>0</v>
      </c>
      <c r="O27" s="18" t="n">
        <v>0</v>
      </c>
      <c r="P27" s="20" t="n">
        <v>0</v>
      </c>
      <c r="Q27" s="18" t="n">
        <v>2.5839027</v>
      </c>
      <c r="R27" s="20" t="n">
        <v>0.76492358</v>
      </c>
    </row>
    <row r="28" spans="1:18">
      <c r="A28" s="15" t="s">
        <v>370</v>
      </c>
      <c r="B28" s="17" t="n">
        <v>3765</v>
      </c>
      <c r="C28" s="18">
        <f>(3343.0/B28*100)</f>
        <v/>
      </c>
      <c r="D28" s="19" t="n">
        <v>422</v>
      </c>
      <c r="E28" s="18" t="n">
        <v>76.86866669</v>
      </c>
      <c r="F28" s="20" t="n">
        <v>2.51461114</v>
      </c>
      <c r="G28" s="18" t="n">
        <v>22.8984107</v>
      </c>
      <c r="H28" s="20" t="n">
        <v>2.50780817</v>
      </c>
      <c r="I28" s="18" t="s">
        <v>349</v>
      </c>
      <c r="J28" s="20" t="s">
        <v>349</v>
      </c>
      <c r="K28" s="18" t="n">
        <v>0</v>
      </c>
      <c r="L28" s="20" t="n">
        <v>0</v>
      </c>
      <c r="M28" s="18" t="n">
        <v>0</v>
      </c>
      <c r="N28" s="20" t="n">
        <v>0</v>
      </c>
      <c r="O28" s="18" t="n">
        <v>0</v>
      </c>
      <c r="P28" s="20" t="n">
        <v>0</v>
      </c>
      <c r="Q28" s="18" t="n">
        <v>0.23292261</v>
      </c>
      <c r="R28" s="20" t="n">
        <v>0.23304652</v>
      </c>
    </row>
    <row r="29" spans="1:18">
      <c r="A29" s="15" t="s">
        <v>371</v>
      </c>
      <c r="B29" s="17" t="n">
        <v>2685</v>
      </c>
      <c r="C29" s="18">
        <f>(2355.0/B29*100)</f>
        <v/>
      </c>
      <c r="D29" s="19" t="n">
        <v>330</v>
      </c>
      <c r="E29" s="18" t="n">
        <v>45.9928632</v>
      </c>
      <c r="F29" s="20" t="n">
        <v>2.40816178</v>
      </c>
      <c r="G29" s="18" t="n">
        <v>52.58896404</v>
      </c>
      <c r="H29" s="20" t="n">
        <v>2.44179809</v>
      </c>
      <c r="I29" s="18" t="s">
        <v>349</v>
      </c>
      <c r="J29" s="20" t="s">
        <v>349</v>
      </c>
      <c r="K29" s="18" t="n">
        <v>0.74937177</v>
      </c>
      <c r="L29" s="20" t="n">
        <v>0.52047426</v>
      </c>
      <c r="M29" s="18" t="n">
        <v>0</v>
      </c>
      <c r="N29" s="20" t="n">
        <v>0</v>
      </c>
      <c r="O29" s="18" t="n">
        <v>0</v>
      </c>
      <c r="P29" s="20" t="n">
        <v>0</v>
      </c>
      <c r="Q29" s="18" t="n">
        <v>0.668801</v>
      </c>
      <c r="R29" s="20" t="n">
        <v>0.62118543</v>
      </c>
    </row>
    <row r="30" spans="1:18">
      <c r="A30" s="15" t="s">
        <v>372</v>
      </c>
      <c r="B30" s="17" t="n">
        <v>2263</v>
      </c>
      <c r="C30" s="18">
        <f>(1991.0/B30*100)</f>
        <v/>
      </c>
      <c r="D30" s="19" t="n">
        <v>272</v>
      </c>
      <c r="E30" s="18" t="n">
        <v>50.19157947</v>
      </c>
      <c r="F30" s="20" t="n">
        <v>3.43105927</v>
      </c>
      <c r="G30" s="18" t="n">
        <v>47.57750812</v>
      </c>
      <c r="H30" s="20" t="n">
        <v>3.32925053</v>
      </c>
      <c r="I30" s="18" t="s">
        <v>349</v>
      </c>
      <c r="J30" s="20" t="s">
        <v>349</v>
      </c>
      <c r="K30" s="18" t="n">
        <v>0.22736813</v>
      </c>
      <c r="L30" s="20" t="n">
        <v>0.22910924</v>
      </c>
      <c r="M30" s="18" t="n">
        <v>0</v>
      </c>
      <c r="N30" s="20" t="n">
        <v>0</v>
      </c>
      <c r="O30" s="18" t="n">
        <v>0</v>
      </c>
      <c r="P30" s="20" t="n">
        <v>0</v>
      </c>
      <c r="Q30" s="18" t="n">
        <v>2.00354429</v>
      </c>
      <c r="R30" s="20" t="n">
        <v>0.88211478</v>
      </c>
    </row>
    <row r="31" spans="1:18">
      <c r="A31" s="15" t="s">
        <v>373</v>
      </c>
      <c r="B31" s="17" t="n">
        <v>2750</v>
      </c>
      <c r="C31" s="18">
        <f>(2395.0/B31*100)</f>
        <v/>
      </c>
      <c r="D31" s="19" t="n">
        <v>355</v>
      </c>
      <c r="E31" s="18" t="n">
        <v>53.83226764</v>
      </c>
      <c r="F31" s="20" t="n">
        <v>3.01100461</v>
      </c>
      <c r="G31" s="18" t="n">
        <v>41.57048817</v>
      </c>
      <c r="H31" s="20" t="n">
        <v>3.10142307</v>
      </c>
      <c r="I31" s="18" t="s">
        <v>349</v>
      </c>
      <c r="J31" s="20" t="s">
        <v>349</v>
      </c>
      <c r="K31" s="18" t="n">
        <v>1.344945</v>
      </c>
      <c r="L31" s="20" t="n">
        <v>0.5903096799999999</v>
      </c>
      <c r="M31" s="18" t="n">
        <v>0</v>
      </c>
      <c r="N31" s="20" t="n">
        <v>0</v>
      </c>
      <c r="O31" s="18" t="n">
        <v>0</v>
      </c>
      <c r="P31" s="20" t="n">
        <v>0</v>
      </c>
      <c r="Q31" s="18" t="n">
        <v>3.2522992</v>
      </c>
      <c r="R31" s="20" t="n">
        <v>0.95221965</v>
      </c>
    </row>
    <row r="32" spans="1:18">
      <c r="A32" s="15" t="s">
        <v>374</v>
      </c>
      <c r="B32" s="17" t="n">
        <v>2269</v>
      </c>
      <c r="C32" s="18">
        <f>(1901.0/B32*100)</f>
        <v/>
      </c>
      <c r="D32" s="19" t="n">
        <v>368</v>
      </c>
      <c r="E32" s="18" t="n">
        <v>59.41481497</v>
      </c>
      <c r="F32" s="20" t="n">
        <v>2.63559617</v>
      </c>
      <c r="G32" s="18" t="n">
        <v>40.08898987</v>
      </c>
      <c r="H32" s="20" t="n">
        <v>2.63152067</v>
      </c>
      <c r="I32" s="18" t="s">
        <v>349</v>
      </c>
      <c r="J32" s="20" t="s">
        <v>349</v>
      </c>
      <c r="K32" s="18" t="n">
        <v>0.24321453</v>
      </c>
      <c r="L32" s="20" t="n">
        <v>0.24437532</v>
      </c>
      <c r="M32" s="18" t="n">
        <v>0</v>
      </c>
      <c r="N32" s="20" t="n">
        <v>0</v>
      </c>
      <c r="O32" s="18" t="n">
        <v>0</v>
      </c>
      <c r="P32" s="20" t="n">
        <v>0</v>
      </c>
      <c r="Q32" s="18" t="n">
        <v>0.25298063</v>
      </c>
      <c r="R32" s="20" t="n">
        <v>0.25320051</v>
      </c>
    </row>
    <row r="33" spans="1:18">
      <c r="A33" s="15" t="s">
        <v>375</v>
      </c>
      <c r="B33" s="17" t="n">
        <v>3674</v>
      </c>
      <c r="C33" s="18">
        <f>(3212.0/B33*100)</f>
        <v/>
      </c>
      <c r="D33" s="19" t="n">
        <v>462</v>
      </c>
      <c r="E33" s="18" t="n">
        <v>56.75234384</v>
      </c>
      <c r="F33" s="20" t="n">
        <v>2.97593541</v>
      </c>
      <c r="G33" s="18" t="n">
        <v>40.32624589</v>
      </c>
      <c r="H33" s="20" t="n">
        <v>2.63300136</v>
      </c>
      <c r="I33" s="18" t="s">
        <v>349</v>
      </c>
      <c r="J33" s="20" t="s">
        <v>349</v>
      </c>
      <c r="K33" s="18" t="n">
        <v>1.269296</v>
      </c>
      <c r="L33" s="20" t="n">
        <v>0.69882417</v>
      </c>
      <c r="M33" s="18" t="n">
        <v>0</v>
      </c>
      <c r="N33" s="20" t="n">
        <v>0</v>
      </c>
      <c r="O33" s="18" t="n">
        <v>0</v>
      </c>
      <c r="P33" s="20" t="n">
        <v>0</v>
      </c>
      <c r="Q33" s="18" t="n">
        <v>1.65211426</v>
      </c>
      <c r="R33" s="20" t="n">
        <v>0.74219285</v>
      </c>
    </row>
    <row r="34" spans="1:18">
      <c r="A34" s="15" t="s">
        <v>376</v>
      </c>
      <c r="B34" s="17" t="n">
        <v>3315</v>
      </c>
      <c r="C34" s="18">
        <f>(2907.0/B34*100)</f>
        <v/>
      </c>
      <c r="D34" s="19" t="n">
        <v>408</v>
      </c>
      <c r="E34" s="18" t="n">
        <v>64.55394432</v>
      </c>
      <c r="F34" s="20" t="n">
        <v>2.83703625</v>
      </c>
      <c r="G34" s="18" t="n">
        <v>33.4727863</v>
      </c>
      <c r="H34" s="20" t="n">
        <v>2.97234766</v>
      </c>
      <c r="I34" s="18" t="s">
        <v>349</v>
      </c>
      <c r="J34" s="20" t="s">
        <v>349</v>
      </c>
      <c r="K34" s="18" t="n">
        <v>0.55460286</v>
      </c>
      <c r="L34" s="20" t="n">
        <v>0.40497905</v>
      </c>
      <c r="M34" s="18" t="n">
        <v>0</v>
      </c>
      <c r="N34" s="20" t="n">
        <v>0</v>
      </c>
      <c r="O34" s="18" t="n">
        <v>0</v>
      </c>
      <c r="P34" s="20" t="n">
        <v>0</v>
      </c>
      <c r="Q34" s="18" t="n">
        <v>1.41866653</v>
      </c>
      <c r="R34" s="20" t="n">
        <v>0.54726534</v>
      </c>
    </row>
    <row r="35" spans="1:18">
      <c r="A35" s="15" t="s">
        <v>377</v>
      </c>
      <c r="B35" s="17" t="n">
        <v>3505</v>
      </c>
      <c r="C35" s="18">
        <f>(3092.0/B35*100)</f>
        <v/>
      </c>
      <c r="D35" s="19" t="n">
        <v>413</v>
      </c>
      <c r="E35" s="18" t="n">
        <v>54.19614163</v>
      </c>
      <c r="F35" s="20" t="n">
        <v>3.01592301</v>
      </c>
      <c r="G35" s="18" t="n">
        <v>45.35888518</v>
      </c>
      <c r="H35" s="20" t="n">
        <v>3.0186989</v>
      </c>
      <c r="I35" s="18" t="s">
        <v>349</v>
      </c>
      <c r="J35" s="20" t="s">
        <v>349</v>
      </c>
      <c r="K35" s="18" t="n">
        <v>0.11769918</v>
      </c>
      <c r="L35" s="20" t="n">
        <v>0.11629431</v>
      </c>
      <c r="M35" s="18" t="n">
        <v>0</v>
      </c>
      <c r="N35" s="20" t="n">
        <v>0</v>
      </c>
      <c r="O35" s="18" t="n">
        <v>0</v>
      </c>
      <c r="P35" s="20" t="n">
        <v>0</v>
      </c>
      <c r="Q35" s="18" t="n">
        <v>0.32727401</v>
      </c>
      <c r="R35" s="20" t="n">
        <v>0.19464317</v>
      </c>
    </row>
    <row r="36" spans="1:18">
      <c r="A36" s="15" t="s">
        <v>378</v>
      </c>
      <c r="B36" s="17" t="n">
        <v>3332</v>
      </c>
      <c r="C36" s="18">
        <f>(2927.0/B36*100)</f>
        <v/>
      </c>
      <c r="D36" s="19" t="n">
        <v>405</v>
      </c>
      <c r="E36" s="18" t="n">
        <v>53.2951074</v>
      </c>
      <c r="F36" s="20" t="n">
        <v>2.7480157</v>
      </c>
      <c r="G36" s="18" t="n">
        <v>42.28074867</v>
      </c>
      <c r="H36" s="20" t="n">
        <v>2.59508353</v>
      </c>
      <c r="I36" s="18" t="s">
        <v>349</v>
      </c>
      <c r="J36" s="20" t="s">
        <v>349</v>
      </c>
      <c r="K36" s="18" t="n">
        <v>1.3205918</v>
      </c>
      <c r="L36" s="20" t="n">
        <v>0.66427926</v>
      </c>
      <c r="M36" s="18" t="n">
        <v>0</v>
      </c>
      <c r="N36" s="20" t="n">
        <v>0</v>
      </c>
      <c r="O36" s="18" t="n">
        <v>0</v>
      </c>
      <c r="P36" s="20" t="n">
        <v>0</v>
      </c>
      <c r="Q36" s="18" t="n">
        <v>3.10355213</v>
      </c>
      <c r="R36" s="20" t="n">
        <v>0.84648771</v>
      </c>
    </row>
    <row r="37" spans="1:18">
      <c r="A37" s="15" t="s">
        <v>379</v>
      </c>
      <c r="B37" s="17" t="n">
        <v>2727</v>
      </c>
      <c r="C37" s="18">
        <f>(2423.0/B37*100)</f>
        <v/>
      </c>
      <c r="D37" s="19" t="n">
        <v>304</v>
      </c>
      <c r="E37" s="18" t="n">
        <v>54.8743607</v>
      </c>
      <c r="F37" s="20" t="n">
        <v>2.67399626</v>
      </c>
      <c r="G37" s="18" t="n">
        <v>36.63686493</v>
      </c>
      <c r="H37" s="20" t="n">
        <v>2.70199987</v>
      </c>
      <c r="I37" s="18" t="s">
        <v>349</v>
      </c>
      <c r="J37" s="20" t="s">
        <v>349</v>
      </c>
      <c r="K37" s="18" t="n">
        <v>1.62488996</v>
      </c>
      <c r="L37" s="20" t="n">
        <v>0.8083276700000001</v>
      </c>
      <c r="M37" s="18" t="n">
        <v>0</v>
      </c>
      <c r="N37" s="20" t="n">
        <v>0</v>
      </c>
      <c r="O37" s="18" t="n">
        <v>0</v>
      </c>
      <c r="P37" s="20" t="n">
        <v>0</v>
      </c>
      <c r="Q37" s="18" t="n">
        <v>6.86388441</v>
      </c>
      <c r="R37" s="20" t="n">
        <v>1.45008185</v>
      </c>
    </row>
    <row r="38" spans="1:18">
      <c r="A38" s="15" t="s">
        <v>380</v>
      </c>
      <c r="B38" s="17" t="n">
        <v>3053</v>
      </c>
      <c r="C38" s="18">
        <f>(2556.0/B38*100)</f>
        <v/>
      </c>
      <c r="D38" s="19" t="n">
        <v>497</v>
      </c>
      <c r="E38" s="18" t="n">
        <v>48.95903444</v>
      </c>
      <c r="F38" s="20" t="n">
        <v>2.42089053</v>
      </c>
      <c r="G38" s="18" t="n">
        <v>48.6697824</v>
      </c>
      <c r="H38" s="20" t="n">
        <v>2.35352832</v>
      </c>
      <c r="I38" s="18" t="s">
        <v>349</v>
      </c>
      <c r="J38" s="20" t="s">
        <v>349</v>
      </c>
      <c r="K38" s="18" t="n">
        <v>0.71799862</v>
      </c>
      <c r="L38" s="20" t="n">
        <v>0.52576751</v>
      </c>
      <c r="M38" s="18" t="n">
        <v>0</v>
      </c>
      <c r="N38" s="20" t="n">
        <v>0</v>
      </c>
      <c r="O38" s="18" t="n">
        <v>0</v>
      </c>
      <c r="P38" s="20" t="n">
        <v>0</v>
      </c>
      <c r="Q38" s="18" t="n">
        <v>1.65318454</v>
      </c>
      <c r="R38" s="20" t="n">
        <v>0.60291931</v>
      </c>
    </row>
    <row r="39" spans="1:18">
      <c r="A39" s="15" t="s">
        <v>381</v>
      </c>
      <c r="B39" s="17" t="n">
        <v>2957</v>
      </c>
      <c r="C39" s="18">
        <f>(2593.0/B39*100)</f>
        <v/>
      </c>
      <c r="D39" s="19" t="n">
        <v>364</v>
      </c>
      <c r="E39" s="18" t="n">
        <v>69.77243550999999</v>
      </c>
      <c r="F39" s="20" t="n">
        <v>3.34226998</v>
      </c>
      <c r="G39" s="18" t="n">
        <v>28.89049865</v>
      </c>
      <c r="H39" s="20" t="n">
        <v>3.25396895</v>
      </c>
      <c r="I39" s="18" t="s">
        <v>349</v>
      </c>
      <c r="J39" s="20" t="s">
        <v>349</v>
      </c>
      <c r="K39" s="18" t="n">
        <v>0</v>
      </c>
      <c r="L39" s="20" t="n">
        <v>0</v>
      </c>
      <c r="M39" s="18" t="n">
        <v>0</v>
      </c>
      <c r="N39" s="20" t="n">
        <v>0</v>
      </c>
      <c r="O39" s="18" t="n">
        <v>0</v>
      </c>
      <c r="P39" s="20" t="n">
        <v>0</v>
      </c>
      <c r="Q39" s="18" t="n">
        <v>1.33706584</v>
      </c>
      <c r="R39" s="20" t="n">
        <v>0.54734718</v>
      </c>
    </row>
    <row r="40" spans="1:18">
      <c r="A40" s="15" t="s">
        <v>382</v>
      </c>
      <c r="B40" s="17" t="n">
        <v>7235</v>
      </c>
      <c r="C40" s="18">
        <f>(6328.0/B40*100)</f>
        <v/>
      </c>
      <c r="D40" s="19" t="n">
        <v>907</v>
      </c>
      <c r="E40" s="18" t="n">
        <v>50.6945971</v>
      </c>
      <c r="F40" s="20" t="n">
        <v>2.97761301</v>
      </c>
      <c r="G40" s="18" t="n">
        <v>46.46745172</v>
      </c>
      <c r="H40" s="20" t="n">
        <v>2.87885426</v>
      </c>
      <c r="I40" s="18" t="s">
        <v>349</v>
      </c>
      <c r="J40" s="20" t="s">
        <v>349</v>
      </c>
      <c r="K40" s="18" t="n">
        <v>0.5893049</v>
      </c>
      <c r="L40" s="20" t="n">
        <v>0.51758098</v>
      </c>
      <c r="M40" s="18" t="n">
        <v>0</v>
      </c>
      <c r="N40" s="20" t="n">
        <v>0</v>
      </c>
      <c r="O40" s="18" t="n">
        <v>0</v>
      </c>
      <c r="P40" s="20" t="n">
        <v>0</v>
      </c>
      <c r="Q40" s="18" t="n">
        <v>2.24864628</v>
      </c>
      <c r="R40" s="20" t="n">
        <v>0.65113713</v>
      </c>
    </row>
    <row r="41" spans="1:18">
      <c r="A41" s="15" t="s">
        <v>383</v>
      </c>
      <c r="B41" s="17" t="n">
        <v>2858</v>
      </c>
      <c r="C41" s="18">
        <f>(2536.0/B41*100)</f>
        <v/>
      </c>
      <c r="D41" s="19" t="n">
        <v>322</v>
      </c>
      <c r="E41" s="18" t="n">
        <v>56.15239839</v>
      </c>
      <c r="F41" s="20" t="n">
        <v>2.74542915</v>
      </c>
      <c r="G41" s="18" t="n">
        <v>42.7722651</v>
      </c>
      <c r="H41" s="20" t="n">
        <v>2.84657254</v>
      </c>
      <c r="I41" s="18" t="s">
        <v>349</v>
      </c>
      <c r="J41" s="20" t="s">
        <v>349</v>
      </c>
      <c r="K41" s="18" t="n">
        <v>0.28771752</v>
      </c>
      <c r="L41" s="20" t="n">
        <v>0.27961154</v>
      </c>
      <c r="M41" s="18" t="n">
        <v>0</v>
      </c>
      <c r="N41" s="20" t="n">
        <v>0</v>
      </c>
      <c r="O41" s="18" t="n">
        <v>0</v>
      </c>
      <c r="P41" s="20" t="n">
        <v>0</v>
      </c>
      <c r="Q41" s="18" t="n">
        <v>0.78761898</v>
      </c>
      <c r="R41" s="20" t="n">
        <v>0.45322461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(9917.0/B46*100)</f>
        <v/>
      </c>
      <c r="D46" s="19" t="n">
        <v>1151</v>
      </c>
      <c r="E46" s="18" t="n">
        <v>69.13100366</v>
      </c>
      <c r="F46" s="20" t="n">
        <v>1.85263537</v>
      </c>
      <c r="G46" s="18" t="n">
        <v>26.16418495</v>
      </c>
      <c r="H46" s="20" t="n">
        <v>1.75880862</v>
      </c>
      <c r="I46" s="18" t="s">
        <v>349</v>
      </c>
      <c r="J46" s="20" t="s">
        <v>349</v>
      </c>
      <c r="K46" s="18" t="n">
        <v>1.27536562</v>
      </c>
      <c r="L46" s="20" t="n">
        <v>0.37675801</v>
      </c>
      <c r="M46" s="18" t="n">
        <v>0</v>
      </c>
      <c r="N46" s="20" t="n">
        <v>0</v>
      </c>
      <c r="O46" s="18" t="n">
        <v>0</v>
      </c>
      <c r="P46" s="20" t="n">
        <v>0</v>
      </c>
      <c r="Q46" s="18" t="n">
        <v>3.42944577</v>
      </c>
      <c r="R46" s="20" t="n">
        <v>0.7329179</v>
      </c>
    </row>
    <row r="47" spans="1:18">
      <c r="A47" s="15" t="s">
        <v>389</v>
      </c>
      <c r="B47" s="17" t="n">
        <v>3105</v>
      </c>
      <c r="C47" s="18">
        <f>(2733.0/B47*100)</f>
        <v/>
      </c>
      <c r="D47" s="19" t="n">
        <v>372</v>
      </c>
      <c r="E47" s="18" t="n">
        <v>63.98827811</v>
      </c>
      <c r="F47" s="20" t="n">
        <v>2.75538548</v>
      </c>
      <c r="G47" s="18" t="n">
        <v>32.84632411</v>
      </c>
      <c r="H47" s="20" t="n">
        <v>2.71160762</v>
      </c>
      <c r="I47" s="18" t="s">
        <v>349</v>
      </c>
      <c r="J47" s="20" t="s">
        <v>349</v>
      </c>
      <c r="K47" s="18" t="n">
        <v>1.02963333</v>
      </c>
      <c r="L47" s="20" t="n">
        <v>0.37577995</v>
      </c>
      <c r="M47" s="18" t="n">
        <v>0</v>
      </c>
      <c r="N47" s="20" t="n">
        <v>0</v>
      </c>
      <c r="O47" s="18" t="n">
        <v>0</v>
      </c>
      <c r="P47" s="20" t="n">
        <v>0</v>
      </c>
      <c r="Q47" s="18" t="n">
        <v>2.13576446</v>
      </c>
      <c r="R47" s="20" t="n">
        <v>0.64741039</v>
      </c>
    </row>
    <row r="48" spans="1:18">
      <c r="A48" s="15" t="s">
        <v>390</v>
      </c>
      <c r="B48" s="17" t="n">
        <v>5159</v>
      </c>
      <c r="C48" s="18">
        <f>(4502.0/B48*100)</f>
        <v/>
      </c>
      <c r="D48" s="19" t="n">
        <v>657</v>
      </c>
      <c r="E48" s="18" t="n">
        <v>48.69455972</v>
      </c>
      <c r="F48" s="20" t="n">
        <v>2.92498098</v>
      </c>
      <c r="G48" s="18" t="n">
        <v>50.46506671</v>
      </c>
      <c r="H48" s="20" t="n">
        <v>2.86335799</v>
      </c>
      <c r="I48" s="18" t="s">
        <v>349</v>
      </c>
      <c r="J48" s="20" t="s">
        <v>349</v>
      </c>
      <c r="K48" s="18" t="n">
        <v>0.28729144</v>
      </c>
      <c r="L48" s="20" t="n">
        <v>0.21408996</v>
      </c>
      <c r="M48" s="18" t="n">
        <v>0</v>
      </c>
      <c r="N48" s="20" t="n">
        <v>0</v>
      </c>
      <c r="O48" s="18" t="n">
        <v>0</v>
      </c>
      <c r="P48" s="20" t="n">
        <v>0</v>
      </c>
      <c r="Q48" s="18" t="n">
        <v>0.55308212</v>
      </c>
      <c r="R48" s="20" t="n">
        <v>0.4623179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(4970.0/B50*100)</f>
        <v/>
      </c>
      <c r="D50" s="19" t="n">
        <v>667</v>
      </c>
      <c r="E50" s="18" t="n">
        <v>66.64794485</v>
      </c>
      <c r="F50" s="20" t="n">
        <v>2.50371146</v>
      </c>
      <c r="G50" s="18" t="n">
        <v>30.12414655</v>
      </c>
      <c r="H50" s="20" t="n">
        <v>2.7727</v>
      </c>
      <c r="I50" s="18" t="s">
        <v>349</v>
      </c>
      <c r="J50" s="20" t="s">
        <v>349</v>
      </c>
      <c r="K50" s="18" t="n">
        <v>0.81020947</v>
      </c>
      <c r="L50" s="20" t="n">
        <v>0.40376929</v>
      </c>
      <c r="M50" s="18" t="n">
        <v>0</v>
      </c>
      <c r="N50" s="20" t="n">
        <v>0</v>
      </c>
      <c r="O50" s="18" t="n">
        <v>0</v>
      </c>
      <c r="P50" s="20" t="n">
        <v>0</v>
      </c>
      <c r="Q50" s="18" t="n">
        <v>2.41769914</v>
      </c>
      <c r="R50" s="20" t="n">
        <v>0.92976905</v>
      </c>
    </row>
    <row r="51" spans="1:18">
      <c r="A51" s="15" t="s">
        <v>393</v>
      </c>
      <c r="B51" s="17" t="n">
        <v>3372</v>
      </c>
      <c r="C51" s="18">
        <f>(3033.0/B51*100)</f>
        <v/>
      </c>
      <c r="D51" s="19" t="n">
        <v>339</v>
      </c>
      <c r="E51" s="18" t="n">
        <v>65.80617847000001</v>
      </c>
      <c r="F51" s="20" t="n">
        <v>2.29498266</v>
      </c>
      <c r="G51" s="18" t="n">
        <v>31.58696537</v>
      </c>
      <c r="H51" s="20" t="n">
        <v>2.35950491</v>
      </c>
      <c r="I51" s="18" t="s">
        <v>349</v>
      </c>
      <c r="J51" s="20" t="s">
        <v>349</v>
      </c>
      <c r="K51" s="18" t="n">
        <v>1.11793182</v>
      </c>
      <c r="L51" s="20" t="n">
        <v>0.61423044</v>
      </c>
      <c r="M51" s="18" t="n">
        <v>0</v>
      </c>
      <c r="N51" s="20" t="n">
        <v>0</v>
      </c>
      <c r="O51" s="18" t="n">
        <v>0</v>
      </c>
      <c r="P51" s="20" t="n">
        <v>0</v>
      </c>
      <c r="Q51" s="18" t="n">
        <v>1.48892434</v>
      </c>
      <c r="R51" s="20" t="n">
        <v>0.65507983</v>
      </c>
    </row>
    <row r="52" spans="1:18">
      <c r="A52" s="15" t="s">
        <v>394</v>
      </c>
      <c r="B52" s="17" t="n">
        <v>2796</v>
      </c>
      <c r="C52" s="18">
        <f>(2449.0/B52*100)</f>
        <v/>
      </c>
      <c r="D52" s="19" t="n">
        <v>347</v>
      </c>
      <c r="E52" s="18" t="n">
        <v>63.26534589</v>
      </c>
      <c r="F52" s="20" t="n">
        <v>2.50907873</v>
      </c>
      <c r="G52" s="18" t="n">
        <v>33.35440593</v>
      </c>
      <c r="H52" s="20" t="n">
        <v>2.57819433</v>
      </c>
      <c r="I52" s="18" t="s">
        <v>349</v>
      </c>
      <c r="J52" s="20" t="s">
        <v>349</v>
      </c>
      <c r="K52" s="18" t="n">
        <v>0</v>
      </c>
      <c r="L52" s="20" t="n">
        <v>0</v>
      </c>
      <c r="M52" s="18" t="n">
        <v>0</v>
      </c>
      <c r="N52" s="20" t="n">
        <v>0</v>
      </c>
      <c r="O52" s="18" t="n">
        <v>0</v>
      </c>
      <c r="P52" s="20" t="n">
        <v>0</v>
      </c>
      <c r="Q52" s="18" t="n">
        <v>3.38024819</v>
      </c>
      <c r="R52" s="20" t="n">
        <v>0.95194362</v>
      </c>
    </row>
    <row r="53" spans="1:18">
      <c r="A53" s="15" t="s">
        <v>395</v>
      </c>
      <c r="B53" s="17" t="n">
        <v>2811</v>
      </c>
      <c r="C53" s="18">
        <f>(2451.0/B53*100)</f>
        <v/>
      </c>
      <c r="D53" s="19" t="n">
        <v>360</v>
      </c>
      <c r="E53" s="18" t="n">
        <v>64.07287033999999</v>
      </c>
      <c r="F53" s="20" t="n">
        <v>2.33142087</v>
      </c>
      <c r="G53" s="18" t="n">
        <v>33.35403224</v>
      </c>
      <c r="H53" s="20" t="n">
        <v>2.3926769</v>
      </c>
      <c r="I53" s="18" t="s">
        <v>349</v>
      </c>
      <c r="J53" s="20" t="s">
        <v>349</v>
      </c>
      <c r="K53" s="18" t="n">
        <v>0.88060741</v>
      </c>
      <c r="L53" s="20" t="n">
        <v>0.44145102</v>
      </c>
      <c r="M53" s="18" t="n">
        <v>0</v>
      </c>
      <c r="N53" s="20" t="n">
        <v>0</v>
      </c>
      <c r="O53" s="18" t="n">
        <v>0</v>
      </c>
      <c r="P53" s="20" t="n">
        <v>0</v>
      </c>
      <c r="Q53" s="18" t="n">
        <v>1.69249</v>
      </c>
      <c r="R53" s="20" t="n">
        <v>0.6582923000000001</v>
      </c>
    </row>
    <row r="54" spans="1:18">
      <c r="A54" s="15" t="s">
        <v>396</v>
      </c>
      <c r="B54" s="17" t="n">
        <v>2266</v>
      </c>
      <c r="C54" s="18">
        <f>(1864.0/B54*100)</f>
        <v/>
      </c>
      <c r="D54" s="19" t="n">
        <v>402</v>
      </c>
      <c r="E54" s="18" t="n">
        <v>70.32708074</v>
      </c>
      <c r="F54" s="20" t="n">
        <v>2.44118493</v>
      </c>
      <c r="G54" s="18" t="n">
        <v>16.60300559</v>
      </c>
      <c r="H54" s="20" t="n">
        <v>1.89878472</v>
      </c>
      <c r="I54" s="18" t="s">
        <v>349</v>
      </c>
      <c r="J54" s="20" t="s">
        <v>349</v>
      </c>
      <c r="K54" s="18" t="n">
        <v>7.3031286</v>
      </c>
      <c r="L54" s="20" t="n">
        <v>1.3626919</v>
      </c>
      <c r="M54" s="18" t="n">
        <v>0</v>
      </c>
      <c r="N54" s="20" t="n">
        <v>0</v>
      </c>
      <c r="O54" s="18" t="n">
        <v>0</v>
      </c>
      <c r="P54" s="20" t="n">
        <v>0</v>
      </c>
      <c r="Q54" s="18" t="n">
        <v>5.76678507</v>
      </c>
      <c r="R54" s="20" t="n">
        <v>1.43583832</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(2357.0/B56*100)</f>
        <v/>
      </c>
      <c r="D56" s="19" t="n">
        <v>327</v>
      </c>
      <c r="E56" s="18" t="n">
        <v>41.42606949</v>
      </c>
      <c r="F56" s="20" t="n">
        <v>2.89416784</v>
      </c>
      <c r="G56" s="18" t="n">
        <v>56.77264089</v>
      </c>
      <c r="H56" s="20" t="n">
        <v>2.87698072</v>
      </c>
      <c r="I56" s="18" t="s">
        <v>349</v>
      </c>
      <c r="J56" s="20" t="s">
        <v>349</v>
      </c>
      <c r="K56" s="18" t="n">
        <v>0.24849671</v>
      </c>
      <c r="L56" s="20" t="n">
        <v>0.25403304</v>
      </c>
      <c r="M56" s="18" t="n">
        <v>0</v>
      </c>
      <c r="N56" s="20" t="n">
        <v>0</v>
      </c>
      <c r="O56" s="18" t="n">
        <v>0</v>
      </c>
      <c r="P56" s="20" t="n">
        <v>0</v>
      </c>
      <c r="Q56" s="18" t="n">
        <v>1.55279291</v>
      </c>
      <c r="R56" s="20" t="n">
        <v>0.65237375</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(2897.0/B61*100)</f>
        <v/>
      </c>
      <c r="D61" s="19" t="n">
        <v>427</v>
      </c>
      <c r="E61" s="18" t="n">
        <v>53.73818508</v>
      </c>
      <c r="F61" s="20" t="n">
        <v>2.47508935</v>
      </c>
      <c r="G61" s="18" t="n">
        <v>46.01565454</v>
      </c>
      <c r="H61" s="20" t="n">
        <v>2.50660967</v>
      </c>
      <c r="I61" s="18" t="s">
        <v>349</v>
      </c>
      <c r="J61" s="20" t="s">
        <v>349</v>
      </c>
      <c r="K61" s="18" t="n">
        <v>0</v>
      </c>
      <c r="L61" s="20" t="n">
        <v>0</v>
      </c>
      <c r="M61" s="18" t="n">
        <v>0</v>
      </c>
      <c r="N61" s="20" t="n">
        <v>0</v>
      </c>
      <c r="O61" s="18" t="n">
        <v>0</v>
      </c>
      <c r="P61" s="20" t="n">
        <v>0</v>
      </c>
      <c r="Q61" s="18" t="n">
        <v>0.24616038</v>
      </c>
      <c r="R61" s="20" t="n">
        <v>0.245678</v>
      </c>
    </row>
    <row r="62" spans="1:18">
      <c r="A62" s="15" t="s">
        <v>404</v>
      </c>
      <c r="B62" s="17" t="n">
        <v>2246</v>
      </c>
      <c r="C62" s="18">
        <f>(1979.0/B62*100)</f>
        <v/>
      </c>
      <c r="D62" s="19" t="n">
        <v>267</v>
      </c>
      <c r="E62" s="18" t="n">
        <v>47.63962817</v>
      </c>
      <c r="F62" s="20" t="n">
        <v>3.24428278</v>
      </c>
      <c r="G62" s="18" t="n">
        <v>52.36037183</v>
      </c>
      <c r="H62" s="20" t="n">
        <v>3.24428278</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(2533.0/B66*100)</f>
        <v/>
      </c>
      <c r="D66" s="19" t="n">
        <v>361</v>
      </c>
      <c r="E66" s="18" t="n">
        <v>59.64137788</v>
      </c>
      <c r="F66" s="20" t="n">
        <v>2.71345094</v>
      </c>
      <c r="G66" s="18" t="n">
        <v>33.328779</v>
      </c>
      <c r="H66" s="20" t="n">
        <v>2.72558037</v>
      </c>
      <c r="I66" s="18" t="s">
        <v>349</v>
      </c>
      <c r="J66" s="20" t="s">
        <v>349</v>
      </c>
      <c r="K66" s="18" t="n">
        <v>1.19674742</v>
      </c>
      <c r="L66" s="20" t="n">
        <v>0.58986918</v>
      </c>
      <c r="M66" s="18" t="n">
        <v>0</v>
      </c>
      <c r="N66" s="20" t="n">
        <v>0</v>
      </c>
      <c r="O66" s="18" t="n">
        <v>0</v>
      </c>
      <c r="P66" s="20" t="n">
        <v>0</v>
      </c>
      <c r="Q66" s="18" t="n">
        <v>5.83309569</v>
      </c>
      <c r="R66" s="20" t="n">
        <v>1.27103778</v>
      </c>
    </row>
    <row r="67" spans="1:18">
      <c r="A67" s="15" t="s">
        <v>409</v>
      </c>
      <c r="B67" s="17" t="n">
        <v>3511</v>
      </c>
      <c r="C67" s="18">
        <f>(3114.0/B67*100)</f>
        <v/>
      </c>
      <c r="D67" s="19" t="n">
        <v>397</v>
      </c>
      <c r="E67" s="18" t="n">
        <v>73.35914907999999</v>
      </c>
      <c r="F67" s="20" t="n">
        <v>2.01242843</v>
      </c>
      <c r="G67" s="18" t="n">
        <v>25.28597803</v>
      </c>
      <c r="H67" s="20" t="n">
        <v>2.04540921</v>
      </c>
      <c r="I67" s="18" t="s">
        <v>349</v>
      </c>
      <c r="J67" s="20" t="s">
        <v>349</v>
      </c>
      <c r="K67" s="18" t="n">
        <v>0</v>
      </c>
      <c r="L67" s="20" t="n">
        <v>0</v>
      </c>
      <c r="M67" s="18" t="n">
        <v>0</v>
      </c>
      <c r="N67" s="20" t="n">
        <v>0</v>
      </c>
      <c r="O67" s="18" t="n">
        <v>0</v>
      </c>
      <c r="P67" s="20" t="n">
        <v>0</v>
      </c>
      <c r="Q67" s="18" t="n">
        <v>1.3548729</v>
      </c>
      <c r="R67" s="20" t="n">
        <v>0.60784259</v>
      </c>
    </row>
    <row r="68" spans="1:18">
      <c r="A68" s="15" t="s">
        <v>410</v>
      </c>
      <c r="B68" s="17" t="n">
        <v>6049</v>
      </c>
      <c r="C68" s="18">
        <f>(5040.0/B68*100)</f>
        <v/>
      </c>
      <c r="D68" s="19" t="n">
        <v>1009</v>
      </c>
      <c r="E68" s="18" t="n">
        <v>66.91579849999999</v>
      </c>
      <c r="F68" s="20" t="n">
        <v>1.45184584</v>
      </c>
      <c r="G68" s="18" t="n">
        <v>24.18451562</v>
      </c>
      <c r="H68" s="20" t="n">
        <v>1.50530613</v>
      </c>
      <c r="I68" s="18" t="s">
        <v>349</v>
      </c>
      <c r="J68" s="20" t="s">
        <v>349</v>
      </c>
      <c r="K68" s="18" t="n">
        <v>3.54816753</v>
      </c>
      <c r="L68" s="20" t="n">
        <v>0.56935222</v>
      </c>
      <c r="M68" s="18" t="n">
        <v>0</v>
      </c>
      <c r="N68" s="20" t="n">
        <v>0</v>
      </c>
      <c r="O68" s="18" t="n">
        <v>0</v>
      </c>
      <c r="P68" s="20" t="n">
        <v>0</v>
      </c>
      <c r="Q68" s="18" t="n">
        <v>5.35151834</v>
      </c>
      <c r="R68" s="20" t="n">
        <v>0.6432989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(2584.0/B70*100)</f>
        <v/>
      </c>
      <c r="D70" s="19" t="n">
        <v>345</v>
      </c>
      <c r="E70" s="18" t="n">
        <v>63.97629828</v>
      </c>
      <c r="F70" s="20" t="n">
        <v>3.48457833</v>
      </c>
      <c r="G70" s="18" t="n">
        <v>35.26418976</v>
      </c>
      <c r="H70" s="20" t="n">
        <v>3.4171874</v>
      </c>
      <c r="I70" s="18" t="s">
        <v>349</v>
      </c>
      <c r="J70" s="20" t="s">
        <v>349</v>
      </c>
      <c r="K70" s="18" t="n">
        <v>0.18984476</v>
      </c>
      <c r="L70" s="20" t="n">
        <v>0.18943119</v>
      </c>
      <c r="M70" s="18" t="n">
        <v>0</v>
      </c>
      <c r="N70" s="20" t="n">
        <v>0</v>
      </c>
      <c r="O70" s="18" t="n">
        <v>0</v>
      </c>
      <c r="P70" s="20" t="n">
        <v>0</v>
      </c>
      <c r="Q70" s="18" t="n">
        <v>0.56966719</v>
      </c>
      <c r="R70" s="20" t="n">
        <v>0.4138008</v>
      </c>
    </row>
    <row r="71" spans="1:18">
      <c r="A71" s="15" t="s">
        <v>413</v>
      </c>
      <c r="B71" s="17" t="n">
        <v>3142</v>
      </c>
      <c r="C71" s="18">
        <f>(2754.0/B71*100)</f>
        <v/>
      </c>
      <c r="D71" s="19" t="n">
        <v>388</v>
      </c>
      <c r="E71" s="18" t="n">
        <v>44.92176546</v>
      </c>
      <c r="F71" s="20" t="n">
        <v>2.80227768</v>
      </c>
      <c r="G71" s="18" t="n">
        <v>54.77066705</v>
      </c>
      <c r="H71" s="20" t="n">
        <v>2.8066895</v>
      </c>
      <c r="I71" s="18" t="s">
        <v>349</v>
      </c>
      <c r="J71" s="20" t="s">
        <v>349</v>
      </c>
      <c r="K71" s="18" t="n">
        <v>0.30756749</v>
      </c>
      <c r="L71" s="20" t="n">
        <v>0.21225236</v>
      </c>
      <c r="M71" s="18" t="n">
        <v>0</v>
      </c>
      <c r="N71" s="20" t="n">
        <v>0</v>
      </c>
      <c r="O71" s="18" t="n">
        <v>0</v>
      </c>
      <c r="P71" s="20" t="n">
        <v>0</v>
      </c>
      <c r="Q71" s="18" t="n">
        <v>0</v>
      </c>
      <c r="R71" s="20" t="n">
        <v>0</v>
      </c>
    </row>
    <row r="72" spans="1:18">
      <c r="A72" s="15" t="s">
        <v>414</v>
      </c>
      <c r="B72" s="17" t="n">
        <v>3889</v>
      </c>
      <c r="C72" s="18">
        <f>(3422.0/B72*100)</f>
        <v/>
      </c>
      <c r="D72" s="19" t="n">
        <v>467</v>
      </c>
      <c r="E72" s="18" t="n">
        <v>46.58048963</v>
      </c>
      <c r="F72" s="20" t="n">
        <v>2.5169837</v>
      </c>
      <c r="G72" s="18" t="n">
        <v>52.90541899</v>
      </c>
      <c r="H72" s="20" t="n">
        <v>2.48944245</v>
      </c>
      <c r="I72" s="18" t="s">
        <v>349</v>
      </c>
      <c r="J72" s="20" t="s">
        <v>349</v>
      </c>
      <c r="K72" s="18" t="n">
        <v>0</v>
      </c>
      <c r="L72" s="20" t="n">
        <v>0</v>
      </c>
      <c r="M72" s="18" t="n">
        <v>0</v>
      </c>
      <c r="N72" s="20" t="n">
        <v>0</v>
      </c>
      <c r="O72" s="18" t="n">
        <v>0</v>
      </c>
      <c r="P72" s="20" t="n">
        <v>0</v>
      </c>
      <c r="Q72" s="18" t="n">
        <v>0.51409138</v>
      </c>
      <c r="R72" s="20" t="n">
        <v>0.30243145</v>
      </c>
    </row>
    <row r="73" spans="1:18">
      <c r="A73" s="15" t="s">
        <v>415</v>
      </c>
      <c r="B73" s="17" t="n">
        <v>3597</v>
      </c>
      <c r="C73" s="18">
        <f>(3174.0/B73*100)</f>
        <v/>
      </c>
      <c r="D73" s="19" t="n">
        <v>423</v>
      </c>
      <c r="E73" s="18" t="n">
        <v>73.34955610999999</v>
      </c>
      <c r="F73" s="20" t="n">
        <v>2.7505588</v>
      </c>
      <c r="G73" s="18" t="n">
        <v>26.53947197</v>
      </c>
      <c r="H73" s="20" t="n">
        <v>2.74761611</v>
      </c>
      <c r="I73" s="18" t="s">
        <v>349</v>
      </c>
      <c r="J73" s="20" t="s">
        <v>349</v>
      </c>
      <c r="K73" s="18" t="n">
        <v>0</v>
      </c>
      <c r="L73" s="20" t="n">
        <v>0</v>
      </c>
      <c r="M73" s="18" t="n">
        <v>0</v>
      </c>
      <c r="N73" s="20" t="n">
        <v>0</v>
      </c>
      <c r="O73" s="18" t="n">
        <v>0</v>
      </c>
      <c r="P73" s="20" t="n">
        <v>0</v>
      </c>
      <c r="Q73" s="18" t="n">
        <v>0.11097192</v>
      </c>
      <c r="R73" s="20" t="n">
        <v>0.09746818</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(2138.0/B75*100)</f>
        <v/>
      </c>
      <c r="D75" s="19" t="n">
        <v>268</v>
      </c>
      <c r="E75" s="18" t="n">
        <v>72.91659204</v>
      </c>
      <c r="F75" s="20" t="n">
        <v>2.89891809</v>
      </c>
      <c r="G75" s="18" t="n">
        <v>20.80690257</v>
      </c>
      <c r="H75" s="20" t="n">
        <v>2.56269078</v>
      </c>
      <c r="I75" s="18" t="s">
        <v>349</v>
      </c>
      <c r="J75" s="20" t="s">
        <v>349</v>
      </c>
      <c r="K75" s="18" t="n">
        <v>3.26669335</v>
      </c>
      <c r="L75" s="20" t="n">
        <v>1.07100915</v>
      </c>
      <c r="M75" s="18" t="n">
        <v>0</v>
      </c>
      <c r="N75" s="20" t="n">
        <v>0</v>
      </c>
      <c r="O75" s="18" t="n">
        <v>0</v>
      </c>
      <c r="P75" s="20" t="n">
        <v>0</v>
      </c>
      <c r="Q75" s="18" t="n">
        <v>3.00981204</v>
      </c>
      <c r="R75" s="20" t="n">
        <v>1.0896129</v>
      </c>
    </row>
    <row r="76" spans="1:18">
      <c r="A76" s="15" t="s">
        <v>418</v>
      </c>
      <c r="B76" s="17" t="n">
        <v>7052</v>
      </c>
      <c r="C76" s="18">
        <f>(6175.0/B76*100)</f>
        <v/>
      </c>
      <c r="D76" s="19" t="n">
        <v>877</v>
      </c>
      <c r="E76" s="18" t="n">
        <v>66.46256224</v>
      </c>
      <c r="F76" s="20" t="n">
        <v>2.06922499</v>
      </c>
      <c r="G76" s="18" t="n">
        <v>30.69142654</v>
      </c>
      <c r="H76" s="20" t="n">
        <v>2.02163228</v>
      </c>
      <c r="I76" s="18" t="s">
        <v>349</v>
      </c>
      <c r="J76" s="20" t="s">
        <v>349</v>
      </c>
      <c r="K76" s="18" t="n">
        <v>0.99958793</v>
      </c>
      <c r="L76" s="20" t="n">
        <v>0.41847749</v>
      </c>
      <c r="M76" s="18" t="n">
        <v>0</v>
      </c>
      <c r="N76" s="20" t="n">
        <v>0</v>
      </c>
      <c r="O76" s="18" t="n">
        <v>0</v>
      </c>
      <c r="P76" s="20" t="n">
        <v>0</v>
      </c>
      <c r="Q76" s="18" t="n">
        <v>1.84642329</v>
      </c>
      <c r="R76" s="20" t="n">
        <v>0.5086521000000001</v>
      </c>
    </row>
    <row r="77" spans="1:18">
      <c r="A77" s="15" t="s">
        <v>419</v>
      </c>
      <c r="B77" s="17" t="n">
        <v>2908</v>
      </c>
      <c r="C77" s="18">
        <f>(2574.0/B77*100)</f>
        <v/>
      </c>
      <c r="D77" s="19" t="n">
        <v>334</v>
      </c>
      <c r="E77" s="18" t="n">
        <v>67.19347036000001</v>
      </c>
      <c r="F77" s="20" t="n">
        <v>3.06921544</v>
      </c>
      <c r="G77" s="18" t="n">
        <v>27.06226518</v>
      </c>
      <c r="H77" s="20" t="n">
        <v>2.74005109</v>
      </c>
      <c r="I77" s="18" t="s">
        <v>349</v>
      </c>
      <c r="J77" s="20" t="s">
        <v>349</v>
      </c>
      <c r="K77" s="18" t="n">
        <v>1.4550761</v>
      </c>
      <c r="L77" s="20" t="n">
        <v>0.77090862</v>
      </c>
      <c r="M77" s="18" t="n">
        <v>0</v>
      </c>
      <c r="N77" s="20" t="n">
        <v>0</v>
      </c>
      <c r="O77" s="18" t="n">
        <v>0</v>
      </c>
      <c r="P77" s="20" t="n">
        <v>0</v>
      </c>
      <c r="Q77" s="18" t="n">
        <v>4.28918837</v>
      </c>
      <c r="R77" s="20" t="n">
        <v>1.11566712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(3655.0/B81*100)</f>
        <v/>
      </c>
      <c r="D81" s="19" t="n">
        <v>508</v>
      </c>
      <c r="E81" s="18" t="n">
        <v>68.35288189000001</v>
      </c>
      <c r="F81" s="20" t="n">
        <v>2.16464724</v>
      </c>
      <c r="G81" s="18" t="n">
        <v>31.10089804</v>
      </c>
      <c r="H81" s="20" t="n">
        <v>2.11864411</v>
      </c>
      <c r="I81" s="18" t="s">
        <v>349</v>
      </c>
      <c r="J81" s="20" t="s">
        <v>349</v>
      </c>
      <c r="K81" s="18" t="n">
        <v>0.29833887</v>
      </c>
      <c r="L81" s="20" t="n">
        <v>0.28037954</v>
      </c>
      <c r="M81" s="18" t="n">
        <v>0</v>
      </c>
      <c r="N81" s="20" t="n">
        <v>0</v>
      </c>
      <c r="O81" s="18" t="n">
        <v>0</v>
      </c>
      <c r="P81" s="20" t="n">
        <v>0</v>
      </c>
      <c r="Q81" s="18" t="n">
        <v>0.24788119</v>
      </c>
      <c r="R81" s="20" t="n">
        <v>0.23931893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(6460.0/B7*100)</f>
        <v/>
      </c>
      <c r="D7" s="19" t="n">
        <v>907</v>
      </c>
      <c r="E7" s="18" t="n">
        <v>64.76505768</v>
      </c>
      <c r="F7" s="20" t="n">
        <v>1.9737344</v>
      </c>
      <c r="G7" s="18" t="n">
        <v>30.17007932</v>
      </c>
      <c r="H7" s="20" t="n">
        <v>1.91137638</v>
      </c>
      <c r="I7" s="18" t="s">
        <v>349</v>
      </c>
      <c r="J7" s="20" t="s">
        <v>349</v>
      </c>
      <c r="K7" s="18" t="n">
        <v>1.93520686</v>
      </c>
      <c r="L7" s="20" t="n">
        <v>0.59534223</v>
      </c>
      <c r="M7" s="18" t="n">
        <v>0</v>
      </c>
      <c r="N7" s="20" t="n">
        <v>0</v>
      </c>
      <c r="O7" s="18" t="n">
        <v>0</v>
      </c>
      <c r="P7" s="20" t="n">
        <v>0</v>
      </c>
      <c r="Q7" s="18" t="n">
        <v>3.12965614</v>
      </c>
      <c r="R7" s="20" t="n">
        <v>0.64332357</v>
      </c>
    </row>
    <row r="8" spans="1:18">
      <c r="A8" s="15" t="s">
        <v>350</v>
      </c>
      <c r="B8" s="17" t="n">
        <v>3564</v>
      </c>
      <c r="C8" s="18">
        <f>(3136.0/B8*100)</f>
        <v/>
      </c>
      <c r="D8" s="19" t="n">
        <v>428</v>
      </c>
      <c r="E8" s="18" t="n">
        <v>64.38934058</v>
      </c>
      <c r="F8" s="20" t="n">
        <v>2.71785676</v>
      </c>
      <c r="G8" s="18" t="n">
        <v>32.9731614</v>
      </c>
      <c r="H8" s="20" t="n">
        <v>2.66754598</v>
      </c>
      <c r="I8" s="18" t="s">
        <v>349</v>
      </c>
      <c r="J8" s="20" t="s">
        <v>349</v>
      </c>
      <c r="K8" s="18" t="n">
        <v>0.40527596</v>
      </c>
      <c r="L8" s="20" t="n">
        <v>0.2458948</v>
      </c>
      <c r="M8" s="18" t="n">
        <v>0</v>
      </c>
      <c r="N8" s="20" t="n">
        <v>0</v>
      </c>
      <c r="O8" s="18" t="n">
        <v>0</v>
      </c>
      <c r="P8" s="20" t="n">
        <v>0</v>
      </c>
      <c r="Q8" s="18" t="n">
        <v>2.23222206</v>
      </c>
      <c r="R8" s="20" t="n">
        <v>0.6750602</v>
      </c>
    </row>
    <row r="9" spans="1:18">
      <c r="A9" s="15" t="s">
        <v>351</v>
      </c>
      <c r="B9" s="17" t="n">
        <v>4899</v>
      </c>
      <c r="C9" s="18">
        <f>(4337.0/B9*100)</f>
        <v/>
      </c>
      <c r="D9" s="19" t="n">
        <v>562</v>
      </c>
      <c r="E9" s="18" t="n">
        <v>62.84269332</v>
      </c>
      <c r="F9" s="20" t="n">
        <v>1.90203991</v>
      </c>
      <c r="G9" s="18" t="n">
        <v>32.64604871</v>
      </c>
      <c r="H9" s="20" t="n">
        <v>1.7397828</v>
      </c>
      <c r="I9" s="18" t="s">
        <v>349</v>
      </c>
      <c r="J9" s="20" t="s">
        <v>349</v>
      </c>
      <c r="K9" s="18" t="n">
        <v>0.6276648500000001</v>
      </c>
      <c r="L9" s="20" t="n">
        <v>0.29313816</v>
      </c>
      <c r="M9" s="18" t="n">
        <v>0</v>
      </c>
      <c r="N9" s="20" t="n">
        <v>0</v>
      </c>
      <c r="O9" s="18" t="n">
        <v>0</v>
      </c>
      <c r="P9" s="20" t="n">
        <v>0</v>
      </c>
      <c r="Q9" s="18" t="n">
        <v>3.88359311</v>
      </c>
      <c r="R9" s="20" t="n">
        <v>0.93481704</v>
      </c>
    </row>
    <row r="10" spans="1:18">
      <c r="A10" s="15" t="s">
        <v>352</v>
      </c>
      <c r="B10" s="17" t="n">
        <v>10036</v>
      </c>
      <c r="C10" s="18">
        <f>(8815.0/B10*100)</f>
        <v/>
      </c>
      <c r="D10" s="19" t="n">
        <v>1221</v>
      </c>
      <c r="E10" s="18" t="n">
        <v>63.12495173</v>
      </c>
      <c r="F10" s="20" t="n">
        <v>2.11941031</v>
      </c>
      <c r="G10" s="18" t="n">
        <v>34.92647042</v>
      </c>
      <c r="H10" s="20" t="n">
        <v>1.95581696</v>
      </c>
      <c r="I10" s="18" t="s">
        <v>349</v>
      </c>
      <c r="J10" s="20" t="s">
        <v>349</v>
      </c>
      <c r="K10" s="18" t="n">
        <v>0.40681633</v>
      </c>
      <c r="L10" s="20" t="n">
        <v>0.18912858</v>
      </c>
      <c r="M10" s="18" t="n">
        <v>0</v>
      </c>
      <c r="N10" s="20" t="n">
        <v>0</v>
      </c>
      <c r="O10" s="18" t="n">
        <v>0</v>
      </c>
      <c r="P10" s="20" t="n">
        <v>0</v>
      </c>
      <c r="Q10" s="18" t="n">
        <v>1.54176153</v>
      </c>
      <c r="R10" s="20" t="n">
        <v>0.50675638</v>
      </c>
    </row>
    <row r="11" spans="1:18">
      <c r="A11" s="15" t="s">
        <v>353</v>
      </c>
      <c r="B11" s="17" t="n">
        <v>3553</v>
      </c>
      <c r="C11" s="18">
        <f>(3130.0/B11*100)</f>
        <v/>
      </c>
      <c r="D11" s="19" t="n">
        <v>423</v>
      </c>
      <c r="E11" s="18" t="n">
        <v>78.77577983</v>
      </c>
      <c r="F11" s="20" t="n">
        <v>2.23370637</v>
      </c>
      <c r="G11" s="18" t="n">
        <v>10.95084265</v>
      </c>
      <c r="H11" s="20" t="n">
        <v>1.39754699</v>
      </c>
      <c r="I11" s="18" t="s">
        <v>349</v>
      </c>
      <c r="J11" s="20" t="s">
        <v>349</v>
      </c>
      <c r="K11" s="18" t="n">
        <v>2.04508463</v>
      </c>
      <c r="L11" s="20" t="n">
        <v>0.75888363</v>
      </c>
      <c r="M11" s="18" t="n">
        <v>0</v>
      </c>
      <c r="N11" s="20" t="n">
        <v>0</v>
      </c>
      <c r="O11" s="18" t="n">
        <v>0</v>
      </c>
      <c r="P11" s="20" t="n">
        <v>0</v>
      </c>
      <c r="Q11" s="18" t="n">
        <v>8.228292890000001</v>
      </c>
      <c r="R11" s="20" t="n">
        <v>1.89214719</v>
      </c>
    </row>
    <row r="12" spans="1:18">
      <c r="A12" s="15" t="s">
        <v>354</v>
      </c>
      <c r="B12" s="17" t="n">
        <v>3472</v>
      </c>
      <c r="C12" s="18">
        <f>(3073.0/B12*100)</f>
        <v/>
      </c>
      <c r="D12" s="19" t="n">
        <v>399</v>
      </c>
      <c r="E12" s="18" t="n">
        <v>72.16909751999999</v>
      </c>
      <c r="F12" s="20" t="n">
        <v>2.24783072</v>
      </c>
      <c r="G12" s="18" t="n">
        <v>24.89196282</v>
      </c>
      <c r="H12" s="20" t="n">
        <v>1.90547495</v>
      </c>
      <c r="I12" s="18" t="s">
        <v>349</v>
      </c>
      <c r="J12" s="20" t="s">
        <v>349</v>
      </c>
      <c r="K12" s="18" t="n">
        <v>0.12487808</v>
      </c>
      <c r="L12" s="20" t="n">
        <v>0.12510078</v>
      </c>
      <c r="M12" s="18" t="n">
        <v>0</v>
      </c>
      <c r="N12" s="20" t="n">
        <v>0</v>
      </c>
      <c r="O12" s="18" t="n">
        <v>0</v>
      </c>
      <c r="P12" s="20" t="n">
        <v>0</v>
      </c>
      <c r="Q12" s="18" t="n">
        <v>2.81406158</v>
      </c>
      <c r="R12" s="20" t="n">
        <v>1.05318644</v>
      </c>
    </row>
    <row r="13" spans="1:18">
      <c r="A13" s="15" t="s">
        <v>355</v>
      </c>
      <c r="B13" s="17" t="n">
        <v>3559</v>
      </c>
      <c r="C13" s="18">
        <f>(3139.0/B13*100)</f>
        <v/>
      </c>
      <c r="D13" s="19" t="n">
        <v>420</v>
      </c>
      <c r="E13" s="18" t="n">
        <v>65.54010584</v>
      </c>
      <c r="F13" s="20" t="n">
        <v>2.82711189</v>
      </c>
      <c r="G13" s="18" t="n">
        <v>31.76937556</v>
      </c>
      <c r="H13" s="20" t="n">
        <v>2.57640383</v>
      </c>
      <c r="I13" s="18" t="s">
        <v>349</v>
      </c>
      <c r="J13" s="20" t="s">
        <v>349</v>
      </c>
      <c r="K13" s="18" t="n">
        <v>0.7673859200000001</v>
      </c>
      <c r="L13" s="20" t="n">
        <v>0.5957952</v>
      </c>
      <c r="M13" s="18" t="n">
        <v>0</v>
      </c>
      <c r="N13" s="20" t="n">
        <v>0</v>
      </c>
      <c r="O13" s="18" t="n">
        <v>0</v>
      </c>
      <c r="P13" s="20" t="n">
        <v>0</v>
      </c>
      <c r="Q13" s="18" t="n">
        <v>1.92313268</v>
      </c>
      <c r="R13" s="20" t="n">
        <v>0.8835203700000001</v>
      </c>
    </row>
    <row r="14" spans="1:18">
      <c r="A14" s="15" t="s">
        <v>356</v>
      </c>
      <c r="B14" s="17" t="n">
        <v>2799</v>
      </c>
      <c r="C14" s="18">
        <f>(2455.0/B14*100)</f>
        <v/>
      </c>
      <c r="D14" s="19" t="n">
        <v>344</v>
      </c>
      <c r="E14" s="18" t="n">
        <v>68.81854342</v>
      </c>
      <c r="F14" s="20" t="n">
        <v>2.69758866</v>
      </c>
      <c r="G14" s="18" t="n">
        <v>30.03340638</v>
      </c>
      <c r="H14" s="20" t="n">
        <v>2.70887123</v>
      </c>
      <c r="I14" s="18" t="s">
        <v>349</v>
      </c>
      <c r="J14" s="20" t="s">
        <v>349</v>
      </c>
      <c r="K14" s="18" t="n">
        <v>0</v>
      </c>
      <c r="L14" s="20" t="n">
        <v>0</v>
      </c>
      <c r="M14" s="18" t="n">
        <v>0</v>
      </c>
      <c r="N14" s="20" t="n">
        <v>0</v>
      </c>
      <c r="O14" s="18" t="n">
        <v>0</v>
      </c>
      <c r="P14" s="20" t="n">
        <v>0</v>
      </c>
      <c r="Q14" s="18" t="n">
        <v>1.1480502</v>
      </c>
      <c r="R14" s="20" t="n">
        <v>0.52410273</v>
      </c>
    </row>
    <row r="15" spans="1:18">
      <c r="A15" s="15" t="s">
        <v>357</v>
      </c>
      <c r="B15" s="17" t="n">
        <v>3019</v>
      </c>
      <c r="C15" s="18">
        <f>(2667.0/B15*100)</f>
        <v/>
      </c>
      <c r="D15" s="19" t="n">
        <v>352</v>
      </c>
      <c r="E15" s="18" t="n">
        <v>63.95441561</v>
      </c>
      <c r="F15" s="20" t="n">
        <v>2.69125096</v>
      </c>
      <c r="G15" s="18" t="n">
        <v>33.65195608</v>
      </c>
      <c r="H15" s="20" t="n">
        <v>2.56476322</v>
      </c>
      <c r="I15" s="18" t="s">
        <v>349</v>
      </c>
      <c r="J15" s="20" t="s">
        <v>349</v>
      </c>
      <c r="K15" s="18" t="n">
        <v>0</v>
      </c>
      <c r="L15" s="20" t="n">
        <v>0</v>
      </c>
      <c r="M15" s="18" t="n">
        <v>0</v>
      </c>
      <c r="N15" s="20" t="n">
        <v>0</v>
      </c>
      <c r="O15" s="18" t="n">
        <v>0</v>
      </c>
      <c r="P15" s="20" t="n">
        <v>0</v>
      </c>
      <c r="Q15" s="18" t="n">
        <v>2.39362831</v>
      </c>
      <c r="R15" s="20" t="n">
        <v>0.99557442</v>
      </c>
    </row>
    <row r="16" spans="1:18">
      <c r="A16" s="15" t="s">
        <v>358</v>
      </c>
      <c r="B16" s="17" t="n">
        <v>2997</v>
      </c>
      <c r="C16" s="18">
        <f>(2618.0/B16*100)</f>
        <v/>
      </c>
      <c r="D16" s="19" t="n">
        <v>379</v>
      </c>
      <c r="E16" s="18" t="n">
        <v>67.39126469</v>
      </c>
      <c r="F16" s="20" t="n">
        <v>2.71162551</v>
      </c>
      <c r="G16" s="18" t="n">
        <v>23.35046867</v>
      </c>
      <c r="H16" s="20" t="n">
        <v>2.31427426</v>
      </c>
      <c r="I16" s="18" t="s">
        <v>349</v>
      </c>
      <c r="J16" s="20" t="s">
        <v>349</v>
      </c>
      <c r="K16" s="18" t="n">
        <v>1.89260261</v>
      </c>
      <c r="L16" s="20" t="n">
        <v>0.72519092</v>
      </c>
      <c r="M16" s="18" t="n">
        <v>0</v>
      </c>
      <c r="N16" s="20" t="n">
        <v>0</v>
      </c>
      <c r="O16" s="18" t="n">
        <v>0</v>
      </c>
      <c r="P16" s="20" t="n">
        <v>0</v>
      </c>
      <c r="Q16" s="18" t="n">
        <v>7.36566403</v>
      </c>
      <c r="R16" s="20" t="n">
        <v>1.55063749</v>
      </c>
    </row>
    <row r="17" spans="1:18">
      <c r="A17" s="15" t="s">
        <v>359</v>
      </c>
      <c r="B17" s="17" t="n">
        <v>3307</v>
      </c>
      <c r="C17" s="18">
        <f>(2915.0/B17*100)</f>
        <v/>
      </c>
      <c r="D17" s="19" t="n">
        <v>392</v>
      </c>
      <c r="E17" s="18" t="n">
        <v>58.18046016</v>
      </c>
      <c r="F17" s="20" t="n">
        <v>2.12856452</v>
      </c>
      <c r="G17" s="18" t="n">
        <v>36.0737945</v>
      </c>
      <c r="H17" s="20" t="n">
        <v>2.36816909</v>
      </c>
      <c r="I17" s="18" t="s">
        <v>349</v>
      </c>
      <c r="J17" s="20" t="s">
        <v>349</v>
      </c>
      <c r="K17" s="18" t="n">
        <v>0.94025883</v>
      </c>
      <c r="L17" s="20" t="n">
        <v>0.33319104</v>
      </c>
      <c r="M17" s="18" t="n">
        <v>0</v>
      </c>
      <c r="N17" s="20" t="n">
        <v>0</v>
      </c>
      <c r="O17" s="18" t="n">
        <v>0</v>
      </c>
      <c r="P17" s="20" t="n">
        <v>0</v>
      </c>
      <c r="Q17" s="18" t="n">
        <v>4.80548651</v>
      </c>
      <c r="R17" s="20" t="n">
        <v>1.20062222</v>
      </c>
    </row>
    <row r="18" spans="1:18">
      <c r="A18" s="15" t="s">
        <v>360</v>
      </c>
      <c r="B18" s="17" t="n">
        <v>2826</v>
      </c>
      <c r="C18" s="18">
        <f>(2481.0/B18*100)</f>
        <v/>
      </c>
      <c r="D18" s="19" t="n">
        <v>345</v>
      </c>
      <c r="E18" s="18" t="n">
        <v>82.44901379</v>
      </c>
      <c r="F18" s="20" t="n">
        <v>2.25869282</v>
      </c>
      <c r="G18" s="18" t="n">
        <v>13.0096409</v>
      </c>
      <c r="H18" s="20" t="n">
        <v>1.87429424</v>
      </c>
      <c r="I18" s="18" t="s">
        <v>349</v>
      </c>
      <c r="J18" s="20" t="s">
        <v>349</v>
      </c>
      <c r="K18" s="18" t="n">
        <v>0.50840688</v>
      </c>
      <c r="L18" s="20" t="n">
        <v>0.36691025</v>
      </c>
      <c r="M18" s="18" t="n">
        <v>0</v>
      </c>
      <c r="N18" s="20" t="n">
        <v>0</v>
      </c>
      <c r="O18" s="18" t="n">
        <v>0</v>
      </c>
      <c r="P18" s="20" t="n">
        <v>0</v>
      </c>
      <c r="Q18" s="18" t="n">
        <v>4.03293843</v>
      </c>
      <c r="R18" s="20" t="n">
        <v>1.23703103</v>
      </c>
    </row>
    <row r="19" spans="1:18">
      <c r="A19" s="15" t="s">
        <v>361</v>
      </c>
      <c r="B19" s="17" t="n">
        <v>2808</v>
      </c>
      <c r="C19" s="18">
        <f>(2478.0/B19*100)</f>
        <v/>
      </c>
      <c r="D19" s="19" t="n">
        <v>330</v>
      </c>
      <c r="E19" s="18" t="n">
        <v>71.45832883999999</v>
      </c>
      <c r="F19" s="20" t="n">
        <v>2.1596613</v>
      </c>
      <c r="G19" s="18" t="n">
        <v>21.57129669</v>
      </c>
      <c r="H19" s="20" t="n">
        <v>2.0085379</v>
      </c>
      <c r="I19" s="18" t="s">
        <v>349</v>
      </c>
      <c r="J19" s="20" t="s">
        <v>349</v>
      </c>
      <c r="K19" s="18" t="n">
        <v>1.31195295</v>
      </c>
      <c r="L19" s="20" t="n">
        <v>0.79911576</v>
      </c>
      <c r="M19" s="18" t="n">
        <v>0</v>
      </c>
      <c r="N19" s="20" t="n">
        <v>0</v>
      </c>
      <c r="O19" s="18" t="n">
        <v>0</v>
      </c>
      <c r="P19" s="20" t="n">
        <v>0</v>
      </c>
      <c r="Q19" s="18" t="n">
        <v>5.65842152</v>
      </c>
      <c r="R19" s="20" t="n">
        <v>1.2270266</v>
      </c>
    </row>
    <row r="20" spans="1:18">
      <c r="A20" s="15" t="s">
        <v>362</v>
      </c>
      <c r="B20" s="17" t="n">
        <v>1630</v>
      </c>
      <c r="C20" s="18">
        <f>(1424.0/B20*100)</f>
        <v/>
      </c>
      <c r="D20" s="19" t="n">
        <v>206</v>
      </c>
      <c r="E20" s="18" t="n">
        <v>59.82978207</v>
      </c>
      <c r="F20" s="20" t="n">
        <v>3.39656716</v>
      </c>
      <c r="G20" s="18" t="n">
        <v>36.49937439</v>
      </c>
      <c r="H20" s="20" t="n">
        <v>3.73643025</v>
      </c>
      <c r="I20" s="18" t="s">
        <v>349</v>
      </c>
      <c r="J20" s="20" t="s">
        <v>349</v>
      </c>
      <c r="K20" s="18" t="n">
        <v>1.92437422</v>
      </c>
      <c r="L20" s="20" t="n">
        <v>1.10542282</v>
      </c>
      <c r="M20" s="18" t="n">
        <v>0</v>
      </c>
      <c r="N20" s="20" t="n">
        <v>0</v>
      </c>
      <c r="O20" s="18" t="n">
        <v>0</v>
      </c>
      <c r="P20" s="20" t="n">
        <v>0</v>
      </c>
      <c r="Q20" s="18" t="n">
        <v>1.74646932</v>
      </c>
      <c r="R20" s="20" t="n">
        <v>1.01055798</v>
      </c>
    </row>
    <row r="21" spans="1:18">
      <c r="A21" s="15" t="s">
        <v>363</v>
      </c>
      <c r="B21" s="17" t="n">
        <v>2908</v>
      </c>
      <c r="C21" s="18">
        <f>(2438.0/B21*100)</f>
        <v/>
      </c>
      <c r="D21" s="19" t="n">
        <v>470</v>
      </c>
      <c r="E21" s="18" t="n">
        <v>62.53699044</v>
      </c>
      <c r="F21" s="20" t="n">
        <v>2.66480714</v>
      </c>
      <c r="G21" s="18" t="n">
        <v>35.96872425</v>
      </c>
      <c r="H21" s="20" t="n">
        <v>2.62219846</v>
      </c>
      <c r="I21" s="18" t="s">
        <v>349</v>
      </c>
      <c r="J21" s="20" t="s">
        <v>349</v>
      </c>
      <c r="K21" s="18" t="n">
        <v>0.50497052</v>
      </c>
      <c r="L21" s="20" t="n">
        <v>0.36954732</v>
      </c>
      <c r="M21" s="18" t="n">
        <v>0</v>
      </c>
      <c r="N21" s="20" t="n">
        <v>0</v>
      </c>
      <c r="O21" s="18" t="n">
        <v>0</v>
      </c>
      <c r="P21" s="20" t="n">
        <v>0</v>
      </c>
      <c r="Q21" s="18" t="n">
        <v>0.98931479</v>
      </c>
      <c r="R21" s="20" t="n">
        <v>0.49049377</v>
      </c>
    </row>
    <row r="22" spans="1:18">
      <c r="A22" s="15" t="s">
        <v>364</v>
      </c>
      <c r="B22" s="17" t="n">
        <v>2931</v>
      </c>
      <c r="C22" s="18">
        <f>(2582.0/B22*100)</f>
        <v/>
      </c>
      <c r="D22" s="19" t="n">
        <v>349</v>
      </c>
      <c r="E22" s="18" t="n">
        <v>59.01596163</v>
      </c>
      <c r="F22" s="20" t="n">
        <v>2.76371765</v>
      </c>
      <c r="G22" s="18" t="n">
        <v>33.85446561</v>
      </c>
      <c r="H22" s="20" t="n">
        <v>2.63272609</v>
      </c>
      <c r="I22" s="18" t="s">
        <v>349</v>
      </c>
      <c r="J22" s="20" t="s">
        <v>349</v>
      </c>
      <c r="K22" s="18" t="n">
        <v>0.96514578</v>
      </c>
      <c r="L22" s="20" t="n">
        <v>0.55582658</v>
      </c>
      <c r="M22" s="18" t="n">
        <v>0</v>
      </c>
      <c r="N22" s="20" t="n">
        <v>0</v>
      </c>
      <c r="O22" s="18" t="n">
        <v>0</v>
      </c>
      <c r="P22" s="20" t="n">
        <v>0</v>
      </c>
      <c r="Q22" s="18" t="n">
        <v>6.16442699</v>
      </c>
      <c r="R22" s="20" t="n">
        <v>1.55053815</v>
      </c>
    </row>
    <row r="23" spans="1:18">
      <c r="A23" s="15" t="s">
        <v>365</v>
      </c>
      <c r="B23" s="17" t="n">
        <v>5791</v>
      </c>
      <c r="C23" s="18">
        <f>(5103.0/B23*100)</f>
        <v/>
      </c>
      <c r="D23" s="19" t="n">
        <v>688</v>
      </c>
      <c r="E23" s="18" t="n">
        <v>65.66701347999999</v>
      </c>
      <c r="F23" s="20" t="n">
        <v>2.41938097</v>
      </c>
      <c r="G23" s="18" t="n">
        <v>26.98296089</v>
      </c>
      <c r="H23" s="20" t="n">
        <v>1.95057429</v>
      </c>
      <c r="I23" s="18" t="s">
        <v>349</v>
      </c>
      <c r="J23" s="20" t="s">
        <v>349</v>
      </c>
      <c r="K23" s="18" t="n">
        <v>0.38670868</v>
      </c>
      <c r="L23" s="20" t="n">
        <v>0.35439787</v>
      </c>
      <c r="M23" s="18" t="n">
        <v>0</v>
      </c>
      <c r="N23" s="20" t="n">
        <v>0</v>
      </c>
      <c r="O23" s="18" t="n">
        <v>0</v>
      </c>
      <c r="P23" s="20" t="n">
        <v>0</v>
      </c>
      <c r="Q23" s="18" t="n">
        <v>6.96331696</v>
      </c>
      <c r="R23" s="20" t="n">
        <v>1.62635282</v>
      </c>
    </row>
    <row r="24" spans="1:18">
      <c r="A24" s="15" t="s">
        <v>366</v>
      </c>
      <c r="B24" s="17" t="n">
        <v>3338</v>
      </c>
      <c r="C24" s="18">
        <f>(2935.0/B24*100)</f>
        <v/>
      </c>
      <c r="D24" s="19" t="n">
        <v>403</v>
      </c>
      <c r="E24" s="18" t="n">
        <v>43.59247438</v>
      </c>
      <c r="F24" s="20" t="n">
        <v>2.72918309</v>
      </c>
      <c r="G24" s="18" t="n">
        <v>51.90719046</v>
      </c>
      <c r="H24" s="20" t="n">
        <v>2.67354412</v>
      </c>
      <c r="I24" s="18" t="s">
        <v>349</v>
      </c>
      <c r="J24" s="20" t="s">
        <v>349</v>
      </c>
      <c r="K24" s="18" t="n">
        <v>0.48078227</v>
      </c>
      <c r="L24" s="20" t="n">
        <v>0.34112104</v>
      </c>
      <c r="M24" s="18" t="n">
        <v>0</v>
      </c>
      <c r="N24" s="20" t="n">
        <v>0</v>
      </c>
      <c r="O24" s="18" t="n">
        <v>0</v>
      </c>
      <c r="P24" s="20" t="n">
        <v>0</v>
      </c>
      <c r="Q24" s="18" t="n">
        <v>4.01955289</v>
      </c>
      <c r="R24" s="20" t="n">
        <v>1.02520125</v>
      </c>
    </row>
    <row r="25" spans="1:18">
      <c r="A25" s="15" t="s">
        <v>367</v>
      </c>
      <c r="B25" s="17" t="n">
        <v>2912</v>
      </c>
      <c r="C25" s="18">
        <f>(2547.0/B25*100)</f>
        <v/>
      </c>
      <c r="D25" s="19" t="n">
        <v>365</v>
      </c>
      <c r="E25" s="18" t="n">
        <v>59.44959845</v>
      </c>
      <c r="F25" s="20" t="n">
        <v>2.31044221</v>
      </c>
      <c r="G25" s="18" t="n">
        <v>37.26205252</v>
      </c>
      <c r="H25" s="20" t="n">
        <v>2.59985994</v>
      </c>
      <c r="I25" s="18" t="s">
        <v>349</v>
      </c>
      <c r="J25" s="20" t="s">
        <v>349</v>
      </c>
      <c r="K25" s="18" t="n">
        <v>1.05404587</v>
      </c>
      <c r="L25" s="20" t="n">
        <v>0.52442817</v>
      </c>
      <c r="M25" s="18" t="n">
        <v>0</v>
      </c>
      <c r="N25" s="20" t="n">
        <v>0</v>
      </c>
      <c r="O25" s="18" t="n">
        <v>0</v>
      </c>
      <c r="P25" s="20" t="n">
        <v>0</v>
      </c>
      <c r="Q25" s="18" t="n">
        <v>2.23430316</v>
      </c>
      <c r="R25" s="20" t="n">
        <v>0.81993861</v>
      </c>
    </row>
    <row r="26" spans="1:18">
      <c r="A26" s="15" t="s">
        <v>368</v>
      </c>
      <c r="B26" s="17" t="n">
        <v>2450</v>
      </c>
      <c r="C26" s="18">
        <f>(2164.0/B26*100)</f>
        <v/>
      </c>
      <c r="D26" s="19" t="n">
        <v>286</v>
      </c>
      <c r="E26" s="18" t="n">
        <v>82.05679569</v>
      </c>
      <c r="F26" s="20" t="n">
        <v>2.21284827</v>
      </c>
      <c r="G26" s="18" t="n">
        <v>14.21909369</v>
      </c>
      <c r="H26" s="20" t="n">
        <v>1.96397045</v>
      </c>
      <c r="I26" s="18" t="s">
        <v>349</v>
      </c>
      <c r="J26" s="20" t="s">
        <v>349</v>
      </c>
      <c r="K26" s="18" t="n">
        <v>0</v>
      </c>
      <c r="L26" s="20" t="n">
        <v>0</v>
      </c>
      <c r="M26" s="18" t="n">
        <v>0</v>
      </c>
      <c r="N26" s="20" t="n">
        <v>0</v>
      </c>
      <c r="O26" s="18" t="n">
        <v>0</v>
      </c>
      <c r="P26" s="20" t="n">
        <v>0</v>
      </c>
      <c r="Q26" s="18" t="n">
        <v>3.72411063</v>
      </c>
      <c r="R26" s="20" t="n">
        <v>0.9428776800000001</v>
      </c>
    </row>
    <row r="27" spans="1:18">
      <c r="A27" s="15" t="s">
        <v>369</v>
      </c>
      <c r="B27" s="17" t="n">
        <v>2616</v>
      </c>
      <c r="C27" s="18">
        <f>(2307.0/B27*100)</f>
        <v/>
      </c>
      <c r="D27" s="19" t="n">
        <v>309</v>
      </c>
      <c r="E27" s="18" t="n">
        <v>70.71435203</v>
      </c>
      <c r="F27" s="20" t="n">
        <v>2.56504378</v>
      </c>
      <c r="G27" s="18" t="n">
        <v>23.78577279</v>
      </c>
      <c r="H27" s="20" t="n">
        <v>2.28545358</v>
      </c>
      <c r="I27" s="18" t="s">
        <v>349</v>
      </c>
      <c r="J27" s="20" t="s">
        <v>349</v>
      </c>
      <c r="K27" s="18" t="n">
        <v>0.97869958</v>
      </c>
      <c r="L27" s="20" t="n">
        <v>0.5673131300000001</v>
      </c>
      <c r="M27" s="18" t="n">
        <v>0</v>
      </c>
      <c r="N27" s="20" t="n">
        <v>0</v>
      </c>
      <c r="O27" s="18" t="n">
        <v>0</v>
      </c>
      <c r="P27" s="20" t="n">
        <v>0</v>
      </c>
      <c r="Q27" s="18" t="n">
        <v>4.5211756</v>
      </c>
      <c r="R27" s="20" t="n">
        <v>1.18204125</v>
      </c>
    </row>
    <row r="28" spans="1:18">
      <c r="A28" s="15" t="s">
        <v>370</v>
      </c>
      <c r="B28" s="17" t="n">
        <v>3765</v>
      </c>
      <c r="C28" s="18">
        <f>(3350.0/B28*100)</f>
        <v/>
      </c>
      <c r="D28" s="19" t="n">
        <v>415</v>
      </c>
      <c r="E28" s="18" t="n">
        <v>92.67283681000001</v>
      </c>
      <c r="F28" s="20" t="n">
        <v>1.12663688</v>
      </c>
      <c r="G28" s="18" t="n">
        <v>7.17337129</v>
      </c>
      <c r="H28" s="20" t="n">
        <v>1.10970828</v>
      </c>
      <c r="I28" s="18" t="s">
        <v>349</v>
      </c>
      <c r="J28" s="20" t="s">
        <v>349</v>
      </c>
      <c r="K28" s="18" t="n">
        <v>0</v>
      </c>
      <c r="L28" s="20" t="n">
        <v>0</v>
      </c>
      <c r="M28" s="18" t="n">
        <v>0</v>
      </c>
      <c r="N28" s="20" t="n">
        <v>0</v>
      </c>
      <c r="O28" s="18" t="n">
        <v>0</v>
      </c>
      <c r="P28" s="20" t="n">
        <v>0</v>
      </c>
      <c r="Q28" s="18" t="n">
        <v>0.15379189</v>
      </c>
      <c r="R28" s="20" t="n">
        <v>0.15518426</v>
      </c>
    </row>
    <row r="29" spans="1:18">
      <c r="A29" s="15" t="s">
        <v>371</v>
      </c>
      <c r="B29" s="17" t="n">
        <v>2685</v>
      </c>
      <c r="C29" s="18">
        <f>(2355.0/B29*100)</f>
        <v/>
      </c>
      <c r="D29" s="19" t="n">
        <v>330</v>
      </c>
      <c r="E29" s="18" t="n">
        <v>64.89637849</v>
      </c>
      <c r="F29" s="20" t="n">
        <v>2.56702803</v>
      </c>
      <c r="G29" s="18" t="n">
        <v>34.13012299</v>
      </c>
      <c r="H29" s="20" t="n">
        <v>2.50238291</v>
      </c>
      <c r="I29" s="18" t="s">
        <v>349</v>
      </c>
      <c r="J29" s="20" t="s">
        <v>349</v>
      </c>
      <c r="K29" s="18" t="n">
        <v>0.74937177</v>
      </c>
      <c r="L29" s="20" t="n">
        <v>0.52047426</v>
      </c>
      <c r="M29" s="18" t="n">
        <v>0</v>
      </c>
      <c r="N29" s="20" t="n">
        <v>0</v>
      </c>
      <c r="O29" s="18" t="n">
        <v>0</v>
      </c>
      <c r="P29" s="20" t="n">
        <v>0</v>
      </c>
      <c r="Q29" s="18" t="n">
        <v>0.22412675</v>
      </c>
      <c r="R29" s="20" t="n">
        <v>0.30862359</v>
      </c>
    </row>
    <row r="30" spans="1:18">
      <c r="A30" s="15" t="s">
        <v>372</v>
      </c>
      <c r="B30" s="17" t="n">
        <v>2263</v>
      </c>
      <c r="C30" s="18">
        <f>(1993.0/B30*100)</f>
        <v/>
      </c>
      <c r="D30" s="19" t="n">
        <v>270</v>
      </c>
      <c r="E30" s="18" t="n">
        <v>62.4537229</v>
      </c>
      <c r="F30" s="20" t="n">
        <v>3.2098009</v>
      </c>
      <c r="G30" s="18" t="n">
        <v>34.7033634</v>
      </c>
      <c r="H30" s="20" t="n">
        <v>3.28798673</v>
      </c>
      <c r="I30" s="18" t="s">
        <v>349</v>
      </c>
      <c r="J30" s="20" t="s">
        <v>349</v>
      </c>
      <c r="K30" s="18" t="n">
        <v>0.61220218</v>
      </c>
      <c r="L30" s="20" t="n">
        <v>0.44573294</v>
      </c>
      <c r="M30" s="18" t="n">
        <v>0</v>
      </c>
      <c r="N30" s="20" t="n">
        <v>0</v>
      </c>
      <c r="O30" s="18" t="n">
        <v>0</v>
      </c>
      <c r="P30" s="20" t="n">
        <v>0</v>
      </c>
      <c r="Q30" s="18" t="n">
        <v>2.23071152</v>
      </c>
      <c r="R30" s="20" t="n">
        <v>0.87650371</v>
      </c>
    </row>
    <row r="31" spans="1:18">
      <c r="A31" s="15" t="s">
        <v>373</v>
      </c>
      <c r="B31" s="17" t="n">
        <v>2750</v>
      </c>
      <c r="C31" s="18">
        <f>(2395.0/B31*100)</f>
        <v/>
      </c>
      <c r="D31" s="19" t="n">
        <v>355</v>
      </c>
      <c r="E31" s="18" t="n">
        <v>57.90450676</v>
      </c>
      <c r="F31" s="20" t="n">
        <v>2.61749373</v>
      </c>
      <c r="G31" s="18" t="n">
        <v>36.65833032</v>
      </c>
      <c r="H31" s="20" t="n">
        <v>2.6446888</v>
      </c>
      <c r="I31" s="18" t="s">
        <v>349</v>
      </c>
      <c r="J31" s="20" t="s">
        <v>349</v>
      </c>
      <c r="K31" s="18" t="n">
        <v>1.344945</v>
      </c>
      <c r="L31" s="20" t="n">
        <v>0.5903096799999999</v>
      </c>
      <c r="M31" s="18" t="n">
        <v>0</v>
      </c>
      <c r="N31" s="20" t="n">
        <v>0</v>
      </c>
      <c r="O31" s="18" t="n">
        <v>0</v>
      </c>
      <c r="P31" s="20" t="n">
        <v>0</v>
      </c>
      <c r="Q31" s="18" t="n">
        <v>4.09221791</v>
      </c>
      <c r="R31" s="20" t="n">
        <v>1.10838409</v>
      </c>
    </row>
    <row r="32" spans="1:18">
      <c r="A32" s="15" t="s">
        <v>374</v>
      </c>
      <c r="B32" s="17" t="n">
        <v>2269</v>
      </c>
      <c r="C32" s="18">
        <f>(1905.0/B32*100)</f>
        <v/>
      </c>
      <c r="D32" s="19" t="n">
        <v>364</v>
      </c>
      <c r="E32" s="18" t="n">
        <v>70.36641988</v>
      </c>
      <c r="F32" s="20" t="n">
        <v>2.6215236</v>
      </c>
      <c r="G32" s="18" t="n">
        <v>25.34112176</v>
      </c>
      <c r="H32" s="20" t="n">
        <v>2.38782354</v>
      </c>
      <c r="I32" s="18" t="s">
        <v>349</v>
      </c>
      <c r="J32" s="20" t="s">
        <v>349</v>
      </c>
      <c r="K32" s="18" t="n">
        <v>0.24587951</v>
      </c>
      <c r="L32" s="20" t="n">
        <v>0.24673624</v>
      </c>
      <c r="M32" s="18" t="n">
        <v>0</v>
      </c>
      <c r="N32" s="20" t="n">
        <v>0</v>
      </c>
      <c r="O32" s="18" t="n">
        <v>0</v>
      </c>
      <c r="P32" s="20" t="n">
        <v>0</v>
      </c>
      <c r="Q32" s="18" t="n">
        <v>4.04657885</v>
      </c>
      <c r="R32" s="20" t="n">
        <v>1.13411286</v>
      </c>
    </row>
    <row r="33" spans="1:18">
      <c r="A33" s="15" t="s">
        <v>375</v>
      </c>
      <c r="B33" s="17" t="n">
        <v>3674</v>
      </c>
      <c r="C33" s="18">
        <f>(3216.0/B33*100)</f>
        <v/>
      </c>
      <c r="D33" s="19" t="n">
        <v>458</v>
      </c>
      <c r="E33" s="18" t="n">
        <v>69.61659871000001</v>
      </c>
      <c r="F33" s="20" t="n">
        <v>2.76674375</v>
      </c>
      <c r="G33" s="18" t="n">
        <v>25.54398632</v>
      </c>
      <c r="H33" s="20" t="n">
        <v>2.67234958</v>
      </c>
      <c r="I33" s="18" t="s">
        <v>349</v>
      </c>
      <c r="J33" s="20" t="s">
        <v>349</v>
      </c>
      <c r="K33" s="18" t="n">
        <v>1.73250524</v>
      </c>
      <c r="L33" s="20" t="n">
        <v>0.79508289</v>
      </c>
      <c r="M33" s="18" t="n">
        <v>0</v>
      </c>
      <c r="N33" s="20" t="n">
        <v>0</v>
      </c>
      <c r="O33" s="18" t="n">
        <v>0</v>
      </c>
      <c r="P33" s="20" t="n">
        <v>0</v>
      </c>
      <c r="Q33" s="18" t="n">
        <v>3.10690973</v>
      </c>
      <c r="R33" s="20" t="n">
        <v>0.68922059</v>
      </c>
    </row>
    <row r="34" spans="1:18">
      <c r="A34" s="15" t="s">
        <v>376</v>
      </c>
      <c r="B34" s="17" t="n">
        <v>3315</v>
      </c>
      <c r="C34" s="18">
        <f>(2907.0/B34*100)</f>
        <v/>
      </c>
      <c r="D34" s="19" t="n">
        <v>408</v>
      </c>
      <c r="E34" s="18" t="n">
        <v>70.57595687</v>
      </c>
      <c r="F34" s="20" t="n">
        <v>2.64134246</v>
      </c>
      <c r="G34" s="18" t="n">
        <v>24.15438785</v>
      </c>
      <c r="H34" s="20" t="n">
        <v>2.46323604</v>
      </c>
      <c r="I34" s="18" t="s">
        <v>349</v>
      </c>
      <c r="J34" s="20" t="s">
        <v>349</v>
      </c>
      <c r="K34" s="18" t="n">
        <v>0.55460286</v>
      </c>
      <c r="L34" s="20" t="n">
        <v>0.40497905</v>
      </c>
      <c r="M34" s="18" t="n">
        <v>0</v>
      </c>
      <c r="N34" s="20" t="n">
        <v>0</v>
      </c>
      <c r="O34" s="18" t="n">
        <v>0</v>
      </c>
      <c r="P34" s="20" t="n">
        <v>0</v>
      </c>
      <c r="Q34" s="18" t="n">
        <v>4.71505242</v>
      </c>
      <c r="R34" s="20" t="n">
        <v>1.20942112</v>
      </c>
    </row>
    <row r="35" spans="1:18">
      <c r="A35" s="15" t="s">
        <v>377</v>
      </c>
      <c r="B35" s="17" t="n">
        <v>3505</v>
      </c>
      <c r="C35" s="18">
        <f>(3092.0/B35*100)</f>
        <v/>
      </c>
      <c r="D35" s="19" t="n">
        <v>413</v>
      </c>
      <c r="E35" s="18" t="n">
        <v>74.31786454</v>
      </c>
      <c r="F35" s="20" t="n">
        <v>3.2181385</v>
      </c>
      <c r="G35" s="18" t="n">
        <v>23.80059904</v>
      </c>
      <c r="H35" s="20" t="n">
        <v>3.17276027</v>
      </c>
      <c r="I35" s="18" t="s">
        <v>349</v>
      </c>
      <c r="J35" s="20" t="s">
        <v>349</v>
      </c>
      <c r="K35" s="18" t="n">
        <v>0.11769918</v>
      </c>
      <c r="L35" s="20" t="n">
        <v>0.11629431</v>
      </c>
      <c r="M35" s="18" t="n">
        <v>0</v>
      </c>
      <c r="N35" s="20" t="n">
        <v>0</v>
      </c>
      <c r="O35" s="18" t="n">
        <v>0</v>
      </c>
      <c r="P35" s="20" t="n">
        <v>0</v>
      </c>
      <c r="Q35" s="18" t="n">
        <v>1.76383725</v>
      </c>
      <c r="R35" s="20" t="n">
        <v>0.64313332</v>
      </c>
    </row>
    <row r="36" spans="1:18">
      <c r="A36" s="15" t="s">
        <v>378</v>
      </c>
      <c r="B36" s="17" t="n">
        <v>3332</v>
      </c>
      <c r="C36" s="18">
        <f>(2926.0/B36*100)</f>
        <v/>
      </c>
      <c r="D36" s="19" t="n">
        <v>406</v>
      </c>
      <c r="E36" s="18" t="n">
        <v>70.99719272999999</v>
      </c>
      <c r="F36" s="20" t="n">
        <v>2.09730405</v>
      </c>
      <c r="G36" s="18" t="n">
        <v>22.10380992</v>
      </c>
      <c r="H36" s="20" t="n">
        <v>1.88125143</v>
      </c>
      <c r="I36" s="18" t="s">
        <v>349</v>
      </c>
      <c r="J36" s="20" t="s">
        <v>349</v>
      </c>
      <c r="K36" s="18" t="n">
        <v>1.81552802</v>
      </c>
      <c r="L36" s="20" t="n">
        <v>0.72526468</v>
      </c>
      <c r="M36" s="18" t="n">
        <v>0</v>
      </c>
      <c r="N36" s="20" t="n">
        <v>0</v>
      </c>
      <c r="O36" s="18" t="n">
        <v>0</v>
      </c>
      <c r="P36" s="20" t="n">
        <v>0</v>
      </c>
      <c r="Q36" s="18" t="n">
        <v>5.08346934</v>
      </c>
      <c r="R36" s="20" t="n">
        <v>0.94913243</v>
      </c>
    </row>
    <row r="37" spans="1:18">
      <c r="A37" s="15" t="s">
        <v>379</v>
      </c>
      <c r="B37" s="17" t="n">
        <v>2727</v>
      </c>
      <c r="C37" s="18">
        <f>(2424.0/B37*100)</f>
        <v/>
      </c>
      <c r="D37" s="19" t="n">
        <v>303</v>
      </c>
      <c r="E37" s="18" t="n">
        <v>64.7791513</v>
      </c>
      <c r="F37" s="20" t="n">
        <v>3.0541731</v>
      </c>
      <c r="G37" s="18" t="n">
        <v>26.87671617</v>
      </c>
      <c r="H37" s="20" t="n">
        <v>2.85030031</v>
      </c>
      <c r="I37" s="18" t="s">
        <v>349</v>
      </c>
      <c r="J37" s="20" t="s">
        <v>349</v>
      </c>
      <c r="K37" s="18" t="n">
        <v>2.04272972</v>
      </c>
      <c r="L37" s="20" t="n">
        <v>0.8856671</v>
      </c>
      <c r="M37" s="18" t="n">
        <v>0</v>
      </c>
      <c r="N37" s="20" t="n">
        <v>0</v>
      </c>
      <c r="O37" s="18" t="n">
        <v>0</v>
      </c>
      <c r="P37" s="20" t="n">
        <v>0</v>
      </c>
      <c r="Q37" s="18" t="n">
        <v>6.30140282</v>
      </c>
      <c r="R37" s="20" t="n">
        <v>1.4357121</v>
      </c>
    </row>
    <row r="38" spans="1:18">
      <c r="A38" s="15" t="s">
        <v>380</v>
      </c>
      <c r="B38" s="17" t="n">
        <v>3053</v>
      </c>
      <c r="C38" s="18">
        <f>(2556.0/B38*100)</f>
        <v/>
      </c>
      <c r="D38" s="19" t="n">
        <v>497</v>
      </c>
      <c r="E38" s="18" t="n">
        <v>58.46245903</v>
      </c>
      <c r="F38" s="20" t="n">
        <v>2.70723192</v>
      </c>
      <c r="G38" s="18" t="n">
        <v>37.07043099</v>
      </c>
      <c r="H38" s="20" t="n">
        <v>2.6866147</v>
      </c>
      <c r="I38" s="18" t="s">
        <v>349</v>
      </c>
      <c r="J38" s="20" t="s">
        <v>349</v>
      </c>
      <c r="K38" s="18" t="n">
        <v>0.83381768</v>
      </c>
      <c r="L38" s="20" t="n">
        <v>0.4966445</v>
      </c>
      <c r="M38" s="18" t="n">
        <v>0</v>
      </c>
      <c r="N38" s="20" t="n">
        <v>0</v>
      </c>
      <c r="O38" s="18" t="n">
        <v>0</v>
      </c>
      <c r="P38" s="20" t="n">
        <v>0</v>
      </c>
      <c r="Q38" s="18" t="n">
        <v>3.6332923</v>
      </c>
      <c r="R38" s="20" t="n">
        <v>1.1212339</v>
      </c>
    </row>
    <row r="39" spans="1:18">
      <c r="A39" s="15" t="s">
        <v>381</v>
      </c>
      <c r="B39" s="17" t="n">
        <v>2957</v>
      </c>
      <c r="C39" s="18">
        <f>(2593.0/B39*100)</f>
        <v/>
      </c>
      <c r="D39" s="19" t="n">
        <v>364</v>
      </c>
      <c r="E39" s="18" t="n">
        <v>85.1850592</v>
      </c>
      <c r="F39" s="20" t="n">
        <v>2.00658538</v>
      </c>
      <c r="G39" s="18" t="n">
        <v>10.78870455</v>
      </c>
      <c r="H39" s="20" t="n">
        <v>1.79322527</v>
      </c>
      <c r="I39" s="18" t="s">
        <v>349</v>
      </c>
      <c r="J39" s="20" t="s">
        <v>349</v>
      </c>
      <c r="K39" s="18" t="n">
        <v>0.6013549</v>
      </c>
      <c r="L39" s="20" t="n">
        <v>0.45634662</v>
      </c>
      <c r="M39" s="18" t="n">
        <v>0</v>
      </c>
      <c r="N39" s="20" t="n">
        <v>0</v>
      </c>
      <c r="O39" s="18" t="n">
        <v>0</v>
      </c>
      <c r="P39" s="20" t="n">
        <v>0</v>
      </c>
      <c r="Q39" s="18" t="n">
        <v>3.42488135</v>
      </c>
      <c r="R39" s="20" t="n">
        <v>0.86321444</v>
      </c>
    </row>
    <row r="40" spans="1:18">
      <c r="A40" s="15" t="s">
        <v>382</v>
      </c>
      <c r="B40" s="17" t="n">
        <v>7235</v>
      </c>
      <c r="C40" s="18">
        <f>(6328.0/B40*100)</f>
        <v/>
      </c>
      <c r="D40" s="19" t="n">
        <v>907</v>
      </c>
      <c r="E40" s="18" t="n">
        <v>68.21908143</v>
      </c>
      <c r="F40" s="20" t="n">
        <v>2.67067527</v>
      </c>
      <c r="G40" s="18" t="n">
        <v>27.40339018</v>
      </c>
      <c r="H40" s="20" t="n">
        <v>2.51037455</v>
      </c>
      <c r="I40" s="18" t="s">
        <v>349</v>
      </c>
      <c r="J40" s="20" t="s">
        <v>349</v>
      </c>
      <c r="K40" s="18" t="n">
        <v>0.60644094</v>
      </c>
      <c r="L40" s="20" t="n">
        <v>0.51755261</v>
      </c>
      <c r="M40" s="18" t="n">
        <v>0</v>
      </c>
      <c r="N40" s="20" t="n">
        <v>0</v>
      </c>
      <c r="O40" s="18" t="n">
        <v>0</v>
      </c>
      <c r="P40" s="20" t="n">
        <v>0</v>
      </c>
      <c r="Q40" s="18" t="n">
        <v>3.77108745</v>
      </c>
      <c r="R40" s="20" t="n">
        <v>0.91651324</v>
      </c>
    </row>
    <row r="41" spans="1:18">
      <c r="A41" s="15" t="s">
        <v>383</v>
      </c>
      <c r="B41" s="17" t="n">
        <v>2858</v>
      </c>
      <c r="C41" s="18">
        <f>(2536.0/B41*100)</f>
        <v/>
      </c>
      <c r="D41" s="19" t="n">
        <v>322</v>
      </c>
      <c r="E41" s="18" t="n">
        <v>75.65396233</v>
      </c>
      <c r="F41" s="20" t="n">
        <v>3.06553394</v>
      </c>
      <c r="G41" s="18" t="n">
        <v>22.90662634</v>
      </c>
      <c r="H41" s="20" t="n">
        <v>3.04292135</v>
      </c>
      <c r="I41" s="18" t="s">
        <v>349</v>
      </c>
      <c r="J41" s="20" t="s">
        <v>349</v>
      </c>
      <c r="K41" s="18" t="n">
        <v>0.51387551</v>
      </c>
      <c r="L41" s="20" t="n">
        <v>0.36347983</v>
      </c>
      <c r="M41" s="18" t="n">
        <v>0</v>
      </c>
      <c r="N41" s="20" t="n">
        <v>0</v>
      </c>
      <c r="O41" s="18" t="n">
        <v>0</v>
      </c>
      <c r="P41" s="20" t="n">
        <v>0</v>
      </c>
      <c r="Q41" s="18" t="n">
        <v>0.92553582</v>
      </c>
      <c r="R41" s="20" t="n">
        <v>0.4864254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(9950.0/B46*100)</f>
        <v/>
      </c>
      <c r="D46" s="19" t="n">
        <v>1118</v>
      </c>
      <c r="E46" s="18" t="n">
        <v>86.6307458</v>
      </c>
      <c r="F46" s="20" t="n">
        <v>1.17359525</v>
      </c>
      <c r="G46" s="18" t="n">
        <v>4.51711743</v>
      </c>
      <c r="H46" s="20" t="n">
        <v>0.65150397</v>
      </c>
      <c r="I46" s="18" t="s">
        <v>349</v>
      </c>
      <c r="J46" s="20" t="s">
        <v>349</v>
      </c>
      <c r="K46" s="18" t="n">
        <v>2.15299784</v>
      </c>
      <c r="L46" s="20" t="n">
        <v>0.45847785</v>
      </c>
      <c r="M46" s="18" t="n">
        <v>0</v>
      </c>
      <c r="N46" s="20" t="n">
        <v>0</v>
      </c>
      <c r="O46" s="18" t="n">
        <v>0</v>
      </c>
      <c r="P46" s="20" t="n">
        <v>0</v>
      </c>
      <c r="Q46" s="18" t="n">
        <v>6.69913894</v>
      </c>
      <c r="R46" s="20" t="n">
        <v>0.95348997</v>
      </c>
    </row>
    <row r="47" spans="1:18">
      <c r="A47" s="15" t="s">
        <v>389</v>
      </c>
      <c r="B47" s="17" t="n">
        <v>3105</v>
      </c>
      <c r="C47" s="18">
        <f>(2735.0/B47*100)</f>
        <v/>
      </c>
      <c r="D47" s="19" t="n">
        <v>370</v>
      </c>
      <c r="E47" s="18" t="n">
        <v>86.71379045</v>
      </c>
      <c r="F47" s="20" t="n">
        <v>1.77124741</v>
      </c>
      <c r="G47" s="18" t="n">
        <v>9.052543829999999</v>
      </c>
      <c r="H47" s="20" t="n">
        <v>1.55953433</v>
      </c>
      <c r="I47" s="18" t="s">
        <v>349</v>
      </c>
      <c r="J47" s="20" t="s">
        <v>349</v>
      </c>
      <c r="K47" s="18" t="n">
        <v>1.03417896</v>
      </c>
      <c r="L47" s="20" t="n">
        <v>0.37742326</v>
      </c>
      <c r="M47" s="18" t="n">
        <v>0</v>
      </c>
      <c r="N47" s="20" t="n">
        <v>0</v>
      </c>
      <c r="O47" s="18" t="n">
        <v>0</v>
      </c>
      <c r="P47" s="20" t="n">
        <v>0</v>
      </c>
      <c r="Q47" s="18" t="n">
        <v>3.19948676</v>
      </c>
      <c r="R47" s="20" t="n">
        <v>0.82766997</v>
      </c>
    </row>
    <row r="48" spans="1:18">
      <c r="A48" s="15" t="s">
        <v>390</v>
      </c>
      <c r="B48" s="17" t="n">
        <v>5159</v>
      </c>
      <c r="C48" s="18">
        <f>(4504.0/B48*100)</f>
        <v/>
      </c>
      <c r="D48" s="19" t="n">
        <v>655</v>
      </c>
      <c r="E48" s="18" t="n">
        <v>72.00197841000001</v>
      </c>
      <c r="F48" s="20" t="n">
        <v>2.41013612</v>
      </c>
      <c r="G48" s="18" t="n">
        <v>26.90280884</v>
      </c>
      <c r="H48" s="20" t="n">
        <v>2.38384748</v>
      </c>
      <c r="I48" s="18" t="s">
        <v>349</v>
      </c>
      <c r="J48" s="20" t="s">
        <v>349</v>
      </c>
      <c r="K48" s="18" t="n">
        <v>0.28865809</v>
      </c>
      <c r="L48" s="20" t="n">
        <v>0.21510509</v>
      </c>
      <c r="M48" s="18" t="n">
        <v>0</v>
      </c>
      <c r="N48" s="20" t="n">
        <v>0</v>
      </c>
      <c r="O48" s="18" t="n">
        <v>0</v>
      </c>
      <c r="P48" s="20" t="n">
        <v>0</v>
      </c>
      <c r="Q48" s="18" t="n">
        <v>0.80655465</v>
      </c>
      <c r="R48" s="20" t="n">
        <v>0.39280784</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(4976.0/B50*100)</f>
        <v/>
      </c>
      <c r="D50" s="19" t="n">
        <v>661</v>
      </c>
      <c r="E50" s="18" t="n">
        <v>91.79703911999999</v>
      </c>
      <c r="F50" s="20" t="n">
        <v>1.22023722</v>
      </c>
      <c r="G50" s="18" t="n">
        <v>5.51008494</v>
      </c>
      <c r="H50" s="20" t="n">
        <v>1.03683066</v>
      </c>
      <c r="I50" s="18" t="s">
        <v>349</v>
      </c>
      <c r="J50" s="20" t="s">
        <v>349</v>
      </c>
      <c r="K50" s="18" t="n">
        <v>0.82284</v>
      </c>
      <c r="L50" s="20" t="n">
        <v>0.41038294</v>
      </c>
      <c r="M50" s="18" t="n">
        <v>0</v>
      </c>
      <c r="N50" s="20" t="n">
        <v>0</v>
      </c>
      <c r="O50" s="18" t="n">
        <v>0</v>
      </c>
      <c r="P50" s="20" t="n">
        <v>0</v>
      </c>
      <c r="Q50" s="18" t="n">
        <v>1.87003594</v>
      </c>
      <c r="R50" s="20" t="n">
        <v>0.71463568</v>
      </c>
    </row>
    <row r="51" spans="1:18">
      <c r="A51" s="15" t="s">
        <v>393</v>
      </c>
      <c r="B51" s="17" t="n">
        <v>3372</v>
      </c>
      <c r="C51" s="18">
        <f>(3034.0/B51*100)</f>
        <v/>
      </c>
      <c r="D51" s="19" t="n">
        <v>338</v>
      </c>
      <c r="E51" s="18" t="n">
        <v>92.16915896</v>
      </c>
      <c r="F51" s="20" t="n">
        <v>1.52228611</v>
      </c>
      <c r="G51" s="18" t="n">
        <v>3.59419861</v>
      </c>
      <c r="H51" s="20" t="n">
        <v>0.94960957</v>
      </c>
      <c r="I51" s="18" t="s">
        <v>349</v>
      </c>
      <c r="J51" s="20" t="s">
        <v>349</v>
      </c>
      <c r="K51" s="18" t="n">
        <v>1.3837957</v>
      </c>
      <c r="L51" s="20" t="n">
        <v>0.66647408</v>
      </c>
      <c r="M51" s="18" t="n">
        <v>0</v>
      </c>
      <c r="N51" s="20" t="n">
        <v>0</v>
      </c>
      <c r="O51" s="18" t="n">
        <v>0</v>
      </c>
      <c r="P51" s="20" t="n">
        <v>0</v>
      </c>
      <c r="Q51" s="18" t="n">
        <v>2.85284672</v>
      </c>
      <c r="R51" s="20" t="n">
        <v>0.9820483800000001</v>
      </c>
    </row>
    <row r="52" spans="1:18">
      <c r="A52" s="15" t="s">
        <v>394</v>
      </c>
      <c r="B52" s="17" t="n">
        <v>2796</v>
      </c>
      <c r="C52" s="18">
        <f>(2449.0/B52*100)</f>
        <v/>
      </c>
      <c r="D52" s="19" t="n">
        <v>347</v>
      </c>
      <c r="E52" s="18" t="n">
        <v>73.37064064</v>
      </c>
      <c r="F52" s="20" t="n">
        <v>2.38210321</v>
      </c>
      <c r="G52" s="18" t="n">
        <v>18.62122109</v>
      </c>
      <c r="H52" s="20" t="n">
        <v>2.16428232</v>
      </c>
      <c r="I52" s="18" t="s">
        <v>349</v>
      </c>
      <c r="J52" s="20" t="s">
        <v>349</v>
      </c>
      <c r="K52" s="18" t="n">
        <v>0.8801127399999999</v>
      </c>
      <c r="L52" s="20" t="n">
        <v>0.53388212</v>
      </c>
      <c r="M52" s="18" t="n">
        <v>0</v>
      </c>
      <c r="N52" s="20" t="n">
        <v>0</v>
      </c>
      <c r="O52" s="18" t="n">
        <v>0</v>
      </c>
      <c r="P52" s="20" t="n">
        <v>0</v>
      </c>
      <c r="Q52" s="18" t="n">
        <v>7.12802553</v>
      </c>
      <c r="R52" s="20" t="n">
        <v>1.39383788</v>
      </c>
    </row>
    <row r="53" spans="1:18">
      <c r="A53" s="15" t="s">
        <v>395</v>
      </c>
      <c r="B53" s="17" t="n">
        <v>2811</v>
      </c>
      <c r="C53" s="18">
        <f>(2451.0/B53*100)</f>
        <v/>
      </c>
      <c r="D53" s="19" t="n">
        <v>360</v>
      </c>
      <c r="E53" s="18" t="n">
        <v>75.9910156</v>
      </c>
      <c r="F53" s="20" t="n">
        <v>2.61875356</v>
      </c>
      <c r="G53" s="18" t="n">
        <v>18.74463391</v>
      </c>
      <c r="H53" s="20" t="n">
        <v>2.34860354</v>
      </c>
      <c r="I53" s="18" t="s">
        <v>349</v>
      </c>
      <c r="J53" s="20" t="s">
        <v>349</v>
      </c>
      <c r="K53" s="18" t="n">
        <v>1.06723774</v>
      </c>
      <c r="L53" s="20" t="n">
        <v>0.47873438</v>
      </c>
      <c r="M53" s="18" t="n">
        <v>0</v>
      </c>
      <c r="N53" s="20" t="n">
        <v>0</v>
      </c>
      <c r="O53" s="18" t="n">
        <v>0</v>
      </c>
      <c r="P53" s="20" t="n">
        <v>0</v>
      </c>
      <c r="Q53" s="18" t="n">
        <v>4.19711275</v>
      </c>
      <c r="R53" s="20" t="n">
        <v>1.01885502</v>
      </c>
    </row>
    <row r="54" spans="1:18">
      <c r="A54" s="15" t="s">
        <v>396</v>
      </c>
      <c r="B54" s="17" t="n">
        <v>2266</v>
      </c>
      <c r="C54" s="18">
        <f>(1864.0/B54*100)</f>
        <v/>
      </c>
      <c r="D54" s="19" t="n">
        <v>402</v>
      </c>
      <c r="E54" s="18" t="n">
        <v>87.42657056</v>
      </c>
      <c r="F54" s="20" t="n">
        <v>1.75035062</v>
      </c>
      <c r="G54" s="18" t="n">
        <v>0.72695707</v>
      </c>
      <c r="H54" s="20" t="n">
        <v>0.36450512</v>
      </c>
      <c r="I54" s="18" t="s">
        <v>349</v>
      </c>
      <c r="J54" s="20" t="s">
        <v>349</v>
      </c>
      <c r="K54" s="18" t="n">
        <v>9.74630426</v>
      </c>
      <c r="L54" s="20" t="n">
        <v>1.52965346</v>
      </c>
      <c r="M54" s="18" t="n">
        <v>0</v>
      </c>
      <c r="N54" s="20" t="n">
        <v>0</v>
      </c>
      <c r="O54" s="18" t="n">
        <v>0</v>
      </c>
      <c r="P54" s="20" t="n">
        <v>0</v>
      </c>
      <c r="Q54" s="18" t="n">
        <v>2.10016811</v>
      </c>
      <c r="R54" s="20" t="n">
        <v>0.78401269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(2361.0/B56*100)</f>
        <v/>
      </c>
      <c r="D56" s="19" t="n">
        <v>323</v>
      </c>
      <c r="E56" s="18" t="n">
        <v>66.76665493</v>
      </c>
      <c r="F56" s="20" t="n">
        <v>2.35257146</v>
      </c>
      <c r="G56" s="18" t="n">
        <v>31.7847347</v>
      </c>
      <c r="H56" s="20" t="n">
        <v>2.38592104</v>
      </c>
      <c r="I56" s="18" t="s">
        <v>349</v>
      </c>
      <c r="J56" s="20" t="s">
        <v>349</v>
      </c>
      <c r="K56" s="18" t="n">
        <v>0.46392428</v>
      </c>
      <c r="L56" s="20" t="n">
        <v>0.33018204</v>
      </c>
      <c r="M56" s="18" t="n">
        <v>0</v>
      </c>
      <c r="N56" s="20" t="n">
        <v>0</v>
      </c>
      <c r="O56" s="18" t="n">
        <v>0</v>
      </c>
      <c r="P56" s="20" t="n">
        <v>0</v>
      </c>
      <c r="Q56" s="18" t="n">
        <v>0.98468608</v>
      </c>
      <c r="R56" s="20" t="n">
        <v>0.52055346</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(2897.0/B61*100)</f>
        <v/>
      </c>
      <c r="D61" s="19" t="n">
        <v>427</v>
      </c>
      <c r="E61" s="18" t="n">
        <v>77.01380938</v>
      </c>
      <c r="F61" s="20" t="n">
        <v>1.99224296</v>
      </c>
      <c r="G61" s="18" t="n">
        <v>20.01815414</v>
      </c>
      <c r="H61" s="20" t="n">
        <v>1.93014055</v>
      </c>
      <c r="I61" s="18" t="s">
        <v>349</v>
      </c>
      <c r="J61" s="20" t="s">
        <v>349</v>
      </c>
      <c r="K61" s="18" t="n">
        <v>0</v>
      </c>
      <c r="L61" s="20" t="n">
        <v>0</v>
      </c>
      <c r="M61" s="18" t="n">
        <v>0</v>
      </c>
      <c r="N61" s="20" t="n">
        <v>0</v>
      </c>
      <c r="O61" s="18" t="n">
        <v>0</v>
      </c>
      <c r="P61" s="20" t="n">
        <v>0</v>
      </c>
      <c r="Q61" s="18" t="n">
        <v>2.96803648</v>
      </c>
      <c r="R61" s="20" t="n">
        <v>0.76044287</v>
      </c>
    </row>
    <row r="62" spans="1:18">
      <c r="A62" s="15" t="s">
        <v>404</v>
      </c>
      <c r="B62" s="17" t="n">
        <v>2246</v>
      </c>
      <c r="C62" s="18">
        <f>(1979.0/B62*100)</f>
        <v/>
      </c>
      <c r="D62" s="19" t="n">
        <v>267</v>
      </c>
      <c r="E62" s="18" t="n">
        <v>69.67866626</v>
      </c>
      <c r="F62" s="20" t="n">
        <v>2.99990158</v>
      </c>
      <c r="G62" s="18" t="n">
        <v>29.57355885</v>
      </c>
      <c r="H62" s="20" t="n">
        <v>2.9033955</v>
      </c>
      <c r="I62" s="18" t="s">
        <v>349</v>
      </c>
      <c r="J62" s="20" t="s">
        <v>349</v>
      </c>
      <c r="K62" s="18" t="n">
        <v>0</v>
      </c>
      <c r="L62" s="20" t="n">
        <v>0</v>
      </c>
      <c r="M62" s="18" t="n">
        <v>0</v>
      </c>
      <c r="N62" s="20" t="n">
        <v>0</v>
      </c>
      <c r="O62" s="18" t="n">
        <v>0</v>
      </c>
      <c r="P62" s="20" t="n">
        <v>0</v>
      </c>
      <c r="Q62" s="18" t="n">
        <v>0.74777489</v>
      </c>
      <c r="R62" s="20" t="n">
        <v>0.52379841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(2533.0/B66*100)</f>
        <v/>
      </c>
      <c r="D66" s="19" t="n">
        <v>361</v>
      </c>
      <c r="E66" s="18" t="n">
        <v>81.04122021000001</v>
      </c>
      <c r="F66" s="20" t="n">
        <v>1.87678288</v>
      </c>
      <c r="G66" s="18" t="n">
        <v>10.69813913</v>
      </c>
      <c r="H66" s="20" t="n">
        <v>1.49937901</v>
      </c>
      <c r="I66" s="18" t="s">
        <v>349</v>
      </c>
      <c r="J66" s="20" t="s">
        <v>349</v>
      </c>
      <c r="K66" s="18" t="n">
        <v>1.71385187</v>
      </c>
      <c r="L66" s="20" t="n">
        <v>0.69725628</v>
      </c>
      <c r="M66" s="18" t="n">
        <v>0</v>
      </c>
      <c r="N66" s="20" t="n">
        <v>0</v>
      </c>
      <c r="O66" s="18" t="n">
        <v>0</v>
      </c>
      <c r="P66" s="20" t="n">
        <v>0</v>
      </c>
      <c r="Q66" s="18" t="n">
        <v>6.54678879</v>
      </c>
      <c r="R66" s="20" t="n">
        <v>1.17609309</v>
      </c>
    </row>
    <row r="67" spans="1:18">
      <c r="A67" s="15" t="s">
        <v>409</v>
      </c>
      <c r="B67" s="17" t="n">
        <v>3511</v>
      </c>
      <c r="C67" s="18">
        <f>(3126.0/B67*100)</f>
        <v/>
      </c>
      <c r="D67" s="19" t="n">
        <v>385</v>
      </c>
      <c r="E67" s="18" t="n">
        <v>91.08854212999999</v>
      </c>
      <c r="F67" s="20" t="n">
        <v>1.6207916</v>
      </c>
      <c r="G67" s="18" t="n">
        <v>6.42790754</v>
      </c>
      <c r="H67" s="20" t="n">
        <v>1.35307105</v>
      </c>
      <c r="I67" s="18" t="s">
        <v>349</v>
      </c>
      <c r="J67" s="20" t="s">
        <v>349</v>
      </c>
      <c r="K67" s="18" t="n">
        <v>0.46385145</v>
      </c>
      <c r="L67" s="20" t="n">
        <v>0.33058038</v>
      </c>
      <c r="M67" s="18" t="n">
        <v>0</v>
      </c>
      <c r="N67" s="20" t="n">
        <v>0</v>
      </c>
      <c r="O67" s="18" t="n">
        <v>0</v>
      </c>
      <c r="P67" s="20" t="n">
        <v>0</v>
      </c>
      <c r="Q67" s="18" t="n">
        <v>2.01969887</v>
      </c>
      <c r="R67" s="20" t="n">
        <v>0.72287447</v>
      </c>
    </row>
    <row r="68" spans="1:18">
      <c r="A68" s="15" t="s">
        <v>410</v>
      </c>
      <c r="B68" s="17" t="n">
        <v>6049</v>
      </c>
      <c r="C68" s="18">
        <f>(5041.0/B68*100)</f>
        <v/>
      </c>
      <c r="D68" s="19" t="n">
        <v>1008</v>
      </c>
      <c r="E68" s="18" t="n">
        <v>82.37729786</v>
      </c>
      <c r="F68" s="20" t="n">
        <v>1.07653394</v>
      </c>
      <c r="G68" s="18" t="n">
        <v>8.46433438</v>
      </c>
      <c r="H68" s="20" t="n">
        <v>0.76014433</v>
      </c>
      <c r="I68" s="18" t="s">
        <v>349</v>
      </c>
      <c r="J68" s="20" t="s">
        <v>349</v>
      </c>
      <c r="K68" s="18" t="n">
        <v>4.22837861</v>
      </c>
      <c r="L68" s="20" t="n">
        <v>0.64763635</v>
      </c>
      <c r="M68" s="18" t="n">
        <v>0</v>
      </c>
      <c r="N68" s="20" t="n">
        <v>0</v>
      </c>
      <c r="O68" s="18" t="n">
        <v>0</v>
      </c>
      <c r="P68" s="20" t="n">
        <v>0</v>
      </c>
      <c r="Q68" s="18" t="n">
        <v>4.92998916</v>
      </c>
      <c r="R68" s="20" t="n">
        <v>0.65902499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(2587.0/B70*100)</f>
        <v/>
      </c>
      <c r="D70" s="19" t="n">
        <v>342</v>
      </c>
      <c r="E70" s="18" t="n">
        <v>78.1692915</v>
      </c>
      <c r="F70" s="20" t="n">
        <v>2.44745725</v>
      </c>
      <c r="G70" s="18" t="n">
        <v>18.14841104</v>
      </c>
      <c r="H70" s="20" t="n">
        <v>2.3093715</v>
      </c>
      <c r="I70" s="18" t="s">
        <v>349</v>
      </c>
      <c r="J70" s="20" t="s">
        <v>349</v>
      </c>
      <c r="K70" s="18" t="n">
        <v>0.72510126</v>
      </c>
      <c r="L70" s="20" t="n">
        <v>0.53588288</v>
      </c>
      <c r="M70" s="18" t="n">
        <v>0</v>
      </c>
      <c r="N70" s="20" t="n">
        <v>0</v>
      </c>
      <c r="O70" s="18" t="n">
        <v>0</v>
      </c>
      <c r="P70" s="20" t="n">
        <v>0</v>
      </c>
      <c r="Q70" s="18" t="n">
        <v>2.95719621</v>
      </c>
      <c r="R70" s="20" t="n">
        <v>1.1119867</v>
      </c>
    </row>
    <row r="71" spans="1:18">
      <c r="A71" s="15" t="s">
        <v>413</v>
      </c>
      <c r="B71" s="17" t="n">
        <v>3142</v>
      </c>
      <c r="C71" s="18">
        <f>(2754.0/B71*100)</f>
        <v/>
      </c>
      <c r="D71" s="19" t="n">
        <v>388</v>
      </c>
      <c r="E71" s="18" t="n">
        <v>58.80025187</v>
      </c>
      <c r="F71" s="20" t="n">
        <v>2.76097371</v>
      </c>
      <c r="G71" s="18" t="n">
        <v>40.06549002</v>
      </c>
      <c r="H71" s="20" t="n">
        <v>2.82841518</v>
      </c>
      <c r="I71" s="18" t="s">
        <v>349</v>
      </c>
      <c r="J71" s="20" t="s">
        <v>349</v>
      </c>
      <c r="K71" s="18" t="n">
        <v>0.30756749</v>
      </c>
      <c r="L71" s="20" t="n">
        <v>0.21225236</v>
      </c>
      <c r="M71" s="18" t="n">
        <v>0</v>
      </c>
      <c r="N71" s="20" t="n">
        <v>0</v>
      </c>
      <c r="O71" s="18" t="n">
        <v>0</v>
      </c>
      <c r="P71" s="20" t="n">
        <v>0</v>
      </c>
      <c r="Q71" s="18" t="n">
        <v>0.82669062</v>
      </c>
      <c r="R71" s="20" t="n">
        <v>0.41104732</v>
      </c>
    </row>
    <row r="72" spans="1:18">
      <c r="A72" s="15" t="s">
        <v>414</v>
      </c>
      <c r="B72" s="17" t="n">
        <v>3889</v>
      </c>
      <c r="C72" s="18">
        <f>(3422.0/B72*100)</f>
        <v/>
      </c>
      <c r="D72" s="19" t="n">
        <v>467</v>
      </c>
      <c r="E72" s="18" t="n">
        <v>70.45177638</v>
      </c>
      <c r="F72" s="20" t="n">
        <v>2.57267029</v>
      </c>
      <c r="G72" s="18" t="n">
        <v>28.66187051</v>
      </c>
      <c r="H72" s="20" t="n">
        <v>2.58046613</v>
      </c>
      <c r="I72" s="18" t="s">
        <v>349</v>
      </c>
      <c r="J72" s="20" t="s">
        <v>349</v>
      </c>
      <c r="K72" s="18" t="n">
        <v>0</v>
      </c>
      <c r="L72" s="20" t="n">
        <v>0</v>
      </c>
      <c r="M72" s="18" t="n">
        <v>0</v>
      </c>
      <c r="N72" s="20" t="n">
        <v>0</v>
      </c>
      <c r="O72" s="18" t="n">
        <v>0</v>
      </c>
      <c r="P72" s="20" t="n">
        <v>0</v>
      </c>
      <c r="Q72" s="18" t="n">
        <v>0.8863531100000001</v>
      </c>
      <c r="R72" s="20" t="n">
        <v>0.45538524</v>
      </c>
    </row>
    <row r="73" spans="1:18">
      <c r="A73" s="15" t="s">
        <v>415</v>
      </c>
      <c r="B73" s="17" t="n">
        <v>3597</v>
      </c>
      <c r="C73" s="18">
        <f>(3179.0/B73*100)</f>
        <v/>
      </c>
      <c r="D73" s="19" t="n">
        <v>418</v>
      </c>
      <c r="E73" s="18" t="n">
        <v>95.03484269</v>
      </c>
      <c r="F73" s="20" t="n">
        <v>1.19789565</v>
      </c>
      <c r="G73" s="18" t="n">
        <v>3.98656876</v>
      </c>
      <c r="H73" s="20" t="n">
        <v>1.03864577</v>
      </c>
      <c r="I73" s="18" t="s">
        <v>349</v>
      </c>
      <c r="J73" s="20" t="s">
        <v>349</v>
      </c>
      <c r="K73" s="18" t="n">
        <v>0</v>
      </c>
      <c r="L73" s="20" t="n">
        <v>0</v>
      </c>
      <c r="M73" s="18" t="n">
        <v>0</v>
      </c>
      <c r="N73" s="20" t="n">
        <v>0</v>
      </c>
      <c r="O73" s="18" t="n">
        <v>0</v>
      </c>
      <c r="P73" s="20" t="n">
        <v>0</v>
      </c>
      <c r="Q73" s="18" t="n">
        <v>0.9785885600000001</v>
      </c>
      <c r="R73" s="20" t="n">
        <v>0.62723521</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(2138.0/B75*100)</f>
        <v/>
      </c>
      <c r="D75" s="19" t="n">
        <v>268</v>
      </c>
      <c r="E75" s="18" t="n">
        <v>86.22966405</v>
      </c>
      <c r="F75" s="20" t="n">
        <v>2.26801217</v>
      </c>
      <c r="G75" s="18" t="n">
        <v>4.16304077</v>
      </c>
      <c r="H75" s="20" t="n">
        <v>1.39194495</v>
      </c>
      <c r="I75" s="18" t="s">
        <v>349</v>
      </c>
      <c r="J75" s="20" t="s">
        <v>349</v>
      </c>
      <c r="K75" s="18" t="n">
        <v>4.2605587</v>
      </c>
      <c r="L75" s="20" t="n">
        <v>1.25456697</v>
      </c>
      <c r="M75" s="18" t="n">
        <v>0</v>
      </c>
      <c r="N75" s="20" t="n">
        <v>0</v>
      </c>
      <c r="O75" s="18" t="n">
        <v>0</v>
      </c>
      <c r="P75" s="20" t="n">
        <v>0</v>
      </c>
      <c r="Q75" s="18" t="n">
        <v>5.34673648</v>
      </c>
      <c r="R75" s="20" t="n">
        <v>1.32171393</v>
      </c>
    </row>
    <row r="76" spans="1:18">
      <c r="A76" s="15" t="s">
        <v>418</v>
      </c>
      <c r="B76" s="17" t="n">
        <v>7052</v>
      </c>
      <c r="C76" s="18">
        <f>(6175.0/B76*100)</f>
        <v/>
      </c>
      <c r="D76" s="19" t="n">
        <v>877</v>
      </c>
      <c r="E76" s="18" t="n">
        <v>83.56513375</v>
      </c>
      <c r="F76" s="20" t="n">
        <v>1.67562192</v>
      </c>
      <c r="G76" s="18" t="n">
        <v>12.24793082</v>
      </c>
      <c r="H76" s="20" t="n">
        <v>1.72388933</v>
      </c>
      <c r="I76" s="18" t="s">
        <v>349</v>
      </c>
      <c r="J76" s="20" t="s">
        <v>349</v>
      </c>
      <c r="K76" s="18" t="n">
        <v>1.10986445</v>
      </c>
      <c r="L76" s="20" t="n">
        <v>0.43705044</v>
      </c>
      <c r="M76" s="18" t="n">
        <v>0</v>
      </c>
      <c r="N76" s="20" t="n">
        <v>0</v>
      </c>
      <c r="O76" s="18" t="n">
        <v>0</v>
      </c>
      <c r="P76" s="20" t="n">
        <v>0</v>
      </c>
      <c r="Q76" s="18" t="n">
        <v>3.07707098</v>
      </c>
      <c r="R76" s="20" t="n">
        <v>0.66559108</v>
      </c>
    </row>
    <row r="77" spans="1:18">
      <c r="A77" s="15" t="s">
        <v>419</v>
      </c>
      <c r="B77" s="17" t="n">
        <v>2908</v>
      </c>
      <c r="C77" s="18">
        <f>(2574.0/B77*100)</f>
        <v/>
      </c>
      <c r="D77" s="19" t="n">
        <v>334</v>
      </c>
      <c r="E77" s="18" t="n">
        <v>80.31334999000001</v>
      </c>
      <c r="F77" s="20" t="n">
        <v>2.30376762</v>
      </c>
      <c r="G77" s="18" t="n">
        <v>9.86025017</v>
      </c>
      <c r="H77" s="20" t="n">
        <v>1.89665485</v>
      </c>
      <c r="I77" s="18" t="s">
        <v>349</v>
      </c>
      <c r="J77" s="20" t="s">
        <v>349</v>
      </c>
      <c r="K77" s="18" t="n">
        <v>2.08311898</v>
      </c>
      <c r="L77" s="20" t="n">
        <v>0.87607343</v>
      </c>
      <c r="M77" s="18" t="n">
        <v>0</v>
      </c>
      <c r="N77" s="20" t="n">
        <v>0</v>
      </c>
      <c r="O77" s="18" t="n">
        <v>0</v>
      </c>
      <c r="P77" s="20" t="n">
        <v>0</v>
      </c>
      <c r="Q77" s="18" t="n">
        <v>7.74328085</v>
      </c>
      <c r="R77" s="20" t="n">
        <v>1.46035218</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(3655.0/B81*100)</f>
        <v/>
      </c>
      <c r="D81" s="19" t="n">
        <v>508</v>
      </c>
      <c r="E81" s="18" t="n">
        <v>93.54530995</v>
      </c>
      <c r="F81" s="20" t="n">
        <v>1.15679647</v>
      </c>
      <c r="G81" s="18" t="n">
        <v>5.27250346</v>
      </c>
      <c r="H81" s="20" t="n">
        <v>1.07003127</v>
      </c>
      <c r="I81" s="18" t="s">
        <v>349</v>
      </c>
      <c r="J81" s="20" t="s">
        <v>349</v>
      </c>
      <c r="K81" s="18" t="n">
        <v>0.58706102</v>
      </c>
      <c r="L81" s="20" t="n">
        <v>0.40232616</v>
      </c>
      <c r="M81" s="18" t="n">
        <v>0</v>
      </c>
      <c r="N81" s="20" t="n">
        <v>0</v>
      </c>
      <c r="O81" s="18" t="n">
        <v>0</v>
      </c>
      <c r="P81" s="20" t="n">
        <v>0</v>
      </c>
      <c r="Q81" s="18" t="n">
        <v>0.59512557</v>
      </c>
      <c r="R81" s="20" t="n">
        <v>0.44621368</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(6467.0/B7*100)</f>
        <v/>
      </c>
      <c r="D7" s="19" t="n">
        <v>900</v>
      </c>
      <c r="E7" s="18" t="n">
        <v>57.95515331</v>
      </c>
      <c r="F7" s="20" t="n">
        <v>2.14900026</v>
      </c>
      <c r="G7" s="18" t="n">
        <v>28.36254693</v>
      </c>
      <c r="H7" s="20" t="n">
        <v>1.92759366</v>
      </c>
      <c r="I7" s="18" t="s">
        <v>349</v>
      </c>
      <c r="J7" s="20" t="s">
        <v>349</v>
      </c>
      <c r="K7" s="18" t="n">
        <v>2.53082855</v>
      </c>
      <c r="L7" s="20" t="n">
        <v>0.66149913</v>
      </c>
      <c r="M7" s="18" t="n">
        <v>0</v>
      </c>
      <c r="N7" s="20" t="n">
        <v>0</v>
      </c>
      <c r="O7" s="18" t="n">
        <v>0</v>
      </c>
      <c r="P7" s="20" t="n">
        <v>0</v>
      </c>
      <c r="Q7" s="18" t="n">
        <v>11.15147121</v>
      </c>
      <c r="R7" s="20" t="n">
        <v>1.36357277</v>
      </c>
    </row>
    <row r="8" spans="1:18">
      <c r="A8" s="15" t="s">
        <v>350</v>
      </c>
      <c r="B8" s="17" t="n">
        <v>3564</v>
      </c>
      <c r="C8" s="18">
        <f>(3138.0/B8*100)</f>
        <v/>
      </c>
      <c r="D8" s="19" t="n">
        <v>426</v>
      </c>
      <c r="E8" s="18" t="n">
        <v>57.38322951</v>
      </c>
      <c r="F8" s="20" t="n">
        <v>2.78442216</v>
      </c>
      <c r="G8" s="18" t="n">
        <v>29.39477616</v>
      </c>
      <c r="H8" s="20" t="n">
        <v>2.22544189</v>
      </c>
      <c r="I8" s="18" t="s">
        <v>349</v>
      </c>
      <c r="J8" s="20" t="s">
        <v>349</v>
      </c>
      <c r="K8" s="18" t="n">
        <v>0.40627926</v>
      </c>
      <c r="L8" s="20" t="n">
        <v>0.24651207</v>
      </c>
      <c r="M8" s="18" t="n">
        <v>0</v>
      </c>
      <c r="N8" s="20" t="n">
        <v>0</v>
      </c>
      <c r="O8" s="18" t="n">
        <v>0</v>
      </c>
      <c r="P8" s="20" t="n">
        <v>0</v>
      </c>
      <c r="Q8" s="18" t="n">
        <v>12.81571507</v>
      </c>
      <c r="R8" s="20" t="n">
        <v>1.77310959</v>
      </c>
    </row>
    <row r="9" spans="1:18">
      <c r="A9" s="15" t="s">
        <v>351</v>
      </c>
      <c r="B9" s="17" t="n">
        <v>4899</v>
      </c>
      <c r="C9" s="18">
        <f>(4340.0/B9*100)</f>
        <v/>
      </c>
      <c r="D9" s="19" t="n">
        <v>559</v>
      </c>
      <c r="E9" s="18" t="n">
        <v>54.36892314</v>
      </c>
      <c r="F9" s="20" t="n">
        <v>2.36813184</v>
      </c>
      <c r="G9" s="18" t="n">
        <v>32.07776244</v>
      </c>
      <c r="H9" s="20" t="n">
        <v>2.35857461</v>
      </c>
      <c r="I9" s="18" t="s">
        <v>349</v>
      </c>
      <c r="J9" s="20" t="s">
        <v>349</v>
      </c>
      <c r="K9" s="18" t="n">
        <v>0.8066253</v>
      </c>
      <c r="L9" s="20" t="n">
        <v>0.33956952</v>
      </c>
      <c r="M9" s="18" t="n">
        <v>0</v>
      </c>
      <c r="N9" s="20" t="n">
        <v>0</v>
      </c>
      <c r="O9" s="18" t="n">
        <v>0</v>
      </c>
      <c r="P9" s="20" t="n">
        <v>0</v>
      </c>
      <c r="Q9" s="18" t="n">
        <v>12.74668913</v>
      </c>
      <c r="R9" s="20" t="n">
        <v>1.57759441</v>
      </c>
    </row>
    <row r="10" spans="1:18">
      <c r="A10" s="15" t="s">
        <v>352</v>
      </c>
      <c r="B10" s="17" t="n">
        <v>10036</v>
      </c>
      <c r="C10" s="18">
        <f>(8817.0/B10*100)</f>
        <v/>
      </c>
      <c r="D10" s="19" t="n">
        <v>1219</v>
      </c>
      <c r="E10" s="18" t="n">
        <v>62.96339546</v>
      </c>
      <c r="F10" s="20" t="n">
        <v>1.80735389</v>
      </c>
      <c r="G10" s="18" t="n">
        <v>29.05767792</v>
      </c>
      <c r="H10" s="20" t="n">
        <v>1.69196678</v>
      </c>
      <c r="I10" s="18" t="s">
        <v>349</v>
      </c>
      <c r="J10" s="20" t="s">
        <v>349</v>
      </c>
      <c r="K10" s="18" t="n">
        <v>0.73063685</v>
      </c>
      <c r="L10" s="20" t="n">
        <v>0.2611291</v>
      </c>
      <c r="M10" s="18" t="n">
        <v>0</v>
      </c>
      <c r="N10" s="20" t="n">
        <v>0</v>
      </c>
      <c r="O10" s="18" t="n">
        <v>0</v>
      </c>
      <c r="P10" s="20" t="n">
        <v>0</v>
      </c>
      <c r="Q10" s="18" t="n">
        <v>7.24828977</v>
      </c>
      <c r="R10" s="20" t="n">
        <v>1.12005063</v>
      </c>
    </row>
    <row r="11" spans="1:18">
      <c r="A11" s="15" t="s">
        <v>353</v>
      </c>
      <c r="B11" s="17" t="n">
        <v>3553</v>
      </c>
      <c r="C11" s="18">
        <f>(3136.0/B11*100)</f>
        <v/>
      </c>
      <c r="D11" s="19" t="n">
        <v>417</v>
      </c>
      <c r="E11" s="18" t="n">
        <v>62.68759301</v>
      </c>
      <c r="F11" s="20" t="n">
        <v>2.77819274</v>
      </c>
      <c r="G11" s="18" t="n">
        <v>17.77643682</v>
      </c>
      <c r="H11" s="20" t="n">
        <v>2.1051781</v>
      </c>
      <c r="I11" s="18" t="s">
        <v>349</v>
      </c>
      <c r="J11" s="20" t="s">
        <v>349</v>
      </c>
      <c r="K11" s="18" t="n">
        <v>4.45817968</v>
      </c>
      <c r="L11" s="20" t="n">
        <v>1.13145685</v>
      </c>
      <c r="M11" s="18" t="n">
        <v>0</v>
      </c>
      <c r="N11" s="20" t="n">
        <v>0</v>
      </c>
      <c r="O11" s="18" t="n">
        <v>0</v>
      </c>
      <c r="P11" s="20" t="n">
        <v>0</v>
      </c>
      <c r="Q11" s="18" t="n">
        <v>15.07779049</v>
      </c>
      <c r="R11" s="20" t="n">
        <v>2.30676309</v>
      </c>
    </row>
    <row r="12" spans="1:18">
      <c r="A12" s="15" t="s">
        <v>354</v>
      </c>
      <c r="B12" s="17" t="n">
        <v>3472</v>
      </c>
      <c r="C12" s="18">
        <f>(3074.0/B12*100)</f>
        <v/>
      </c>
      <c r="D12" s="19" t="n">
        <v>398</v>
      </c>
      <c r="E12" s="18" t="n">
        <v>53.35816629</v>
      </c>
      <c r="F12" s="20" t="n">
        <v>2.81742101</v>
      </c>
      <c r="G12" s="18" t="n">
        <v>37.83246143</v>
      </c>
      <c r="H12" s="20" t="n">
        <v>3.23417664</v>
      </c>
      <c r="I12" s="18" t="s">
        <v>349</v>
      </c>
      <c r="J12" s="20" t="s">
        <v>349</v>
      </c>
      <c r="K12" s="18" t="n">
        <v>0.61523527</v>
      </c>
      <c r="L12" s="20" t="n">
        <v>0.50962239</v>
      </c>
      <c r="M12" s="18" t="n">
        <v>0</v>
      </c>
      <c r="N12" s="20" t="n">
        <v>0</v>
      </c>
      <c r="O12" s="18" t="n">
        <v>0</v>
      </c>
      <c r="P12" s="20" t="n">
        <v>0</v>
      </c>
      <c r="Q12" s="18" t="n">
        <v>8.19413701</v>
      </c>
      <c r="R12" s="20" t="n">
        <v>1.55122044</v>
      </c>
    </row>
    <row r="13" spans="1:18">
      <c r="A13" s="15" t="s">
        <v>355</v>
      </c>
      <c r="B13" s="17" t="n">
        <v>3559</v>
      </c>
      <c r="C13" s="18">
        <f>(3139.0/B13*100)</f>
        <v/>
      </c>
      <c r="D13" s="19" t="n">
        <v>420</v>
      </c>
      <c r="E13" s="18" t="n">
        <v>68.93273935000001</v>
      </c>
      <c r="F13" s="20" t="n">
        <v>2.54118598</v>
      </c>
      <c r="G13" s="18" t="n">
        <v>17.58755769</v>
      </c>
      <c r="H13" s="20" t="n">
        <v>1.9967045</v>
      </c>
      <c r="I13" s="18" t="s">
        <v>349</v>
      </c>
      <c r="J13" s="20" t="s">
        <v>349</v>
      </c>
      <c r="K13" s="18" t="n">
        <v>1.38232836</v>
      </c>
      <c r="L13" s="20" t="n">
        <v>0.70551041</v>
      </c>
      <c r="M13" s="18" t="n">
        <v>0</v>
      </c>
      <c r="N13" s="20" t="n">
        <v>0</v>
      </c>
      <c r="O13" s="18" t="n">
        <v>0</v>
      </c>
      <c r="P13" s="20" t="n">
        <v>0</v>
      </c>
      <c r="Q13" s="18" t="n">
        <v>12.0973746</v>
      </c>
      <c r="R13" s="20" t="n">
        <v>1.78877564</v>
      </c>
    </row>
    <row r="14" spans="1:18">
      <c r="A14" s="15" t="s">
        <v>356</v>
      </c>
      <c r="B14" s="17" t="n">
        <v>2799</v>
      </c>
      <c r="C14" s="18">
        <f>(2456.0/B14*100)</f>
        <v/>
      </c>
      <c r="D14" s="19" t="n">
        <v>343</v>
      </c>
      <c r="E14" s="18" t="n">
        <v>62.5308496</v>
      </c>
      <c r="F14" s="20" t="n">
        <v>3.01963611</v>
      </c>
      <c r="G14" s="18" t="n">
        <v>31.56680554</v>
      </c>
      <c r="H14" s="20" t="n">
        <v>2.82593116</v>
      </c>
      <c r="I14" s="18" t="s">
        <v>349</v>
      </c>
      <c r="J14" s="20" t="s">
        <v>349</v>
      </c>
      <c r="K14" s="18" t="n">
        <v>0</v>
      </c>
      <c r="L14" s="20" t="n">
        <v>0</v>
      </c>
      <c r="M14" s="18" t="n">
        <v>0</v>
      </c>
      <c r="N14" s="20" t="n">
        <v>0</v>
      </c>
      <c r="O14" s="18" t="n">
        <v>0</v>
      </c>
      <c r="P14" s="20" t="n">
        <v>0</v>
      </c>
      <c r="Q14" s="18" t="n">
        <v>5.90234486</v>
      </c>
      <c r="R14" s="20" t="n">
        <v>1.25067525</v>
      </c>
    </row>
    <row r="15" spans="1:18">
      <c r="A15" s="15" t="s">
        <v>357</v>
      </c>
      <c r="B15" s="17" t="n">
        <v>3019</v>
      </c>
      <c r="C15" s="18">
        <f>(2667.0/B15*100)</f>
        <v/>
      </c>
      <c r="D15" s="19" t="n">
        <v>352</v>
      </c>
      <c r="E15" s="18" t="n">
        <v>64.22235642</v>
      </c>
      <c r="F15" s="20" t="n">
        <v>2.70540273</v>
      </c>
      <c r="G15" s="18" t="n">
        <v>26.14189435</v>
      </c>
      <c r="H15" s="20" t="n">
        <v>2.40417482</v>
      </c>
      <c r="I15" s="18" t="s">
        <v>349</v>
      </c>
      <c r="J15" s="20" t="s">
        <v>349</v>
      </c>
      <c r="K15" s="18" t="n">
        <v>0.54537943</v>
      </c>
      <c r="L15" s="20" t="n">
        <v>0.38121085</v>
      </c>
      <c r="M15" s="18" t="n">
        <v>0</v>
      </c>
      <c r="N15" s="20" t="n">
        <v>0</v>
      </c>
      <c r="O15" s="18" t="n">
        <v>0</v>
      </c>
      <c r="P15" s="20" t="n">
        <v>0</v>
      </c>
      <c r="Q15" s="18" t="n">
        <v>9.0903698</v>
      </c>
      <c r="R15" s="20" t="n">
        <v>1.48754148</v>
      </c>
    </row>
    <row r="16" spans="1:18">
      <c r="A16" s="15" t="s">
        <v>358</v>
      </c>
      <c r="B16" s="17" t="n">
        <v>2997</v>
      </c>
      <c r="C16" s="18">
        <f>(2621.0/B16*100)</f>
        <v/>
      </c>
      <c r="D16" s="19" t="n">
        <v>376</v>
      </c>
      <c r="E16" s="18" t="n">
        <v>54.05780465</v>
      </c>
      <c r="F16" s="20" t="n">
        <v>2.46805358</v>
      </c>
      <c r="G16" s="18" t="n">
        <v>27.90705886</v>
      </c>
      <c r="H16" s="20" t="n">
        <v>2.27470395</v>
      </c>
      <c r="I16" s="18" t="s">
        <v>349</v>
      </c>
      <c r="J16" s="20" t="s">
        <v>349</v>
      </c>
      <c r="K16" s="18" t="n">
        <v>3.15154241</v>
      </c>
      <c r="L16" s="20" t="n">
        <v>1.04237098</v>
      </c>
      <c r="M16" s="18" t="n">
        <v>0</v>
      </c>
      <c r="N16" s="20" t="n">
        <v>0</v>
      </c>
      <c r="O16" s="18" t="n">
        <v>0</v>
      </c>
      <c r="P16" s="20" t="n">
        <v>0</v>
      </c>
      <c r="Q16" s="18" t="n">
        <v>14.88359408</v>
      </c>
      <c r="R16" s="20" t="n">
        <v>1.58677583</v>
      </c>
    </row>
    <row r="17" spans="1:18">
      <c r="A17" s="15" t="s">
        <v>359</v>
      </c>
      <c r="B17" s="17" t="n">
        <v>3307</v>
      </c>
      <c r="C17" s="18">
        <f>(2918.0/B17*100)</f>
        <v/>
      </c>
      <c r="D17" s="19" t="n">
        <v>389</v>
      </c>
      <c r="E17" s="18" t="n">
        <v>60.74317256</v>
      </c>
      <c r="F17" s="20" t="n">
        <v>2.56443106</v>
      </c>
      <c r="G17" s="18" t="n">
        <v>26.12215335</v>
      </c>
      <c r="H17" s="20" t="n">
        <v>2.37684993</v>
      </c>
      <c r="I17" s="18" t="s">
        <v>349</v>
      </c>
      <c r="J17" s="20" t="s">
        <v>349</v>
      </c>
      <c r="K17" s="18" t="n">
        <v>1.63504265</v>
      </c>
      <c r="L17" s="20" t="n">
        <v>0.51988747</v>
      </c>
      <c r="M17" s="18" t="n">
        <v>0</v>
      </c>
      <c r="N17" s="20" t="n">
        <v>0</v>
      </c>
      <c r="O17" s="18" t="n">
        <v>0</v>
      </c>
      <c r="P17" s="20" t="n">
        <v>0</v>
      </c>
      <c r="Q17" s="18" t="n">
        <v>11.49963143</v>
      </c>
      <c r="R17" s="20" t="n">
        <v>2.03035915</v>
      </c>
    </row>
    <row r="18" spans="1:18">
      <c r="A18" s="15" t="s">
        <v>360</v>
      </c>
      <c r="B18" s="17" t="n">
        <v>2826</v>
      </c>
      <c r="C18" s="18">
        <f>(2480.0/B18*100)</f>
        <v/>
      </c>
      <c r="D18" s="19" t="n">
        <v>346</v>
      </c>
      <c r="E18" s="18" t="n">
        <v>67.8228896</v>
      </c>
      <c r="F18" s="20" t="n">
        <v>2.52918764</v>
      </c>
      <c r="G18" s="18" t="n">
        <v>19.8953261</v>
      </c>
      <c r="H18" s="20" t="n">
        <v>2.32545855</v>
      </c>
      <c r="I18" s="18" t="s">
        <v>349</v>
      </c>
      <c r="J18" s="20" t="s">
        <v>349</v>
      </c>
      <c r="K18" s="18" t="n">
        <v>1.83239288</v>
      </c>
      <c r="L18" s="20" t="n">
        <v>0.78922307</v>
      </c>
      <c r="M18" s="18" t="n">
        <v>0</v>
      </c>
      <c r="N18" s="20" t="n">
        <v>0</v>
      </c>
      <c r="O18" s="18" t="n">
        <v>0</v>
      </c>
      <c r="P18" s="20" t="n">
        <v>0</v>
      </c>
      <c r="Q18" s="18" t="n">
        <v>10.44939141</v>
      </c>
      <c r="R18" s="20" t="n">
        <v>1.48135855</v>
      </c>
    </row>
    <row r="19" spans="1:18">
      <c r="A19" s="15" t="s">
        <v>361</v>
      </c>
      <c r="B19" s="17" t="n">
        <v>2808</v>
      </c>
      <c r="C19" s="18">
        <f>(2481.0/B19*100)</f>
        <v/>
      </c>
      <c r="D19" s="19" t="n">
        <v>327</v>
      </c>
      <c r="E19" s="18" t="n">
        <v>64.34582628</v>
      </c>
      <c r="F19" s="20" t="n">
        <v>2.77270003</v>
      </c>
      <c r="G19" s="18" t="n">
        <v>21.65071394</v>
      </c>
      <c r="H19" s="20" t="n">
        <v>2.27966522</v>
      </c>
      <c r="I19" s="18" t="s">
        <v>349</v>
      </c>
      <c r="J19" s="20" t="s">
        <v>349</v>
      </c>
      <c r="K19" s="18" t="n">
        <v>2.0365122</v>
      </c>
      <c r="L19" s="20" t="n">
        <v>0.9429500200000001</v>
      </c>
      <c r="M19" s="18" t="n">
        <v>0</v>
      </c>
      <c r="N19" s="20" t="n">
        <v>0</v>
      </c>
      <c r="O19" s="18" t="n">
        <v>0</v>
      </c>
      <c r="P19" s="20" t="n">
        <v>0</v>
      </c>
      <c r="Q19" s="18" t="n">
        <v>11.96694758</v>
      </c>
      <c r="R19" s="20" t="n">
        <v>1.81347767</v>
      </c>
    </row>
    <row r="20" spans="1:18">
      <c r="A20" s="15" t="s">
        <v>362</v>
      </c>
      <c r="B20" s="17" t="n">
        <v>1630</v>
      </c>
      <c r="C20" s="18">
        <f>(1427.0/B20*100)</f>
        <v/>
      </c>
      <c r="D20" s="19" t="n">
        <v>203</v>
      </c>
      <c r="E20" s="18" t="n">
        <v>63.54503091</v>
      </c>
      <c r="F20" s="20" t="n">
        <v>3.31892421</v>
      </c>
      <c r="G20" s="18" t="n">
        <v>24.94282219</v>
      </c>
      <c r="H20" s="20" t="n">
        <v>3.37735291</v>
      </c>
      <c r="I20" s="18" t="s">
        <v>349</v>
      </c>
      <c r="J20" s="20" t="s">
        <v>349</v>
      </c>
      <c r="K20" s="18" t="n">
        <v>1.9519294</v>
      </c>
      <c r="L20" s="20" t="n">
        <v>1.12199732</v>
      </c>
      <c r="M20" s="18" t="n">
        <v>0</v>
      </c>
      <c r="N20" s="20" t="n">
        <v>0</v>
      </c>
      <c r="O20" s="18" t="n">
        <v>0</v>
      </c>
      <c r="P20" s="20" t="n">
        <v>0</v>
      </c>
      <c r="Q20" s="18" t="n">
        <v>9.5602175</v>
      </c>
      <c r="R20" s="20" t="n">
        <v>1.88112123</v>
      </c>
    </row>
    <row r="21" spans="1:18">
      <c r="A21" s="15" t="s">
        <v>363</v>
      </c>
      <c r="B21" s="17" t="n">
        <v>2908</v>
      </c>
      <c r="C21" s="18">
        <f>(2439.0/B21*100)</f>
        <v/>
      </c>
      <c r="D21" s="19" t="n">
        <v>469</v>
      </c>
      <c r="E21" s="18" t="n">
        <v>68.74694038</v>
      </c>
      <c r="F21" s="20" t="n">
        <v>2.71660746</v>
      </c>
      <c r="G21" s="18" t="n">
        <v>21.48467751</v>
      </c>
      <c r="H21" s="20" t="n">
        <v>2.14298132</v>
      </c>
      <c r="I21" s="18" t="s">
        <v>349</v>
      </c>
      <c r="J21" s="20" t="s">
        <v>349</v>
      </c>
      <c r="K21" s="18" t="n">
        <v>0.93103666</v>
      </c>
      <c r="L21" s="20" t="n">
        <v>0.47738836</v>
      </c>
      <c r="M21" s="18" t="n">
        <v>0</v>
      </c>
      <c r="N21" s="20" t="n">
        <v>0</v>
      </c>
      <c r="O21" s="18" t="n">
        <v>0</v>
      </c>
      <c r="P21" s="20" t="n">
        <v>0</v>
      </c>
      <c r="Q21" s="18" t="n">
        <v>8.83734544</v>
      </c>
      <c r="R21" s="20" t="n">
        <v>1.29271068</v>
      </c>
    </row>
    <row r="22" spans="1:18">
      <c r="A22" s="15" t="s">
        <v>364</v>
      </c>
      <c r="B22" s="17" t="n">
        <v>2931</v>
      </c>
      <c r="C22" s="18">
        <f>(2586.0/B22*100)</f>
        <v/>
      </c>
      <c r="D22" s="19" t="n">
        <v>345</v>
      </c>
      <c r="E22" s="18" t="n">
        <v>63.91777415</v>
      </c>
      <c r="F22" s="20" t="n">
        <v>2.9947074</v>
      </c>
      <c r="G22" s="18" t="n">
        <v>22.88150419</v>
      </c>
      <c r="H22" s="20" t="n">
        <v>2.74476873</v>
      </c>
      <c r="I22" s="18" t="s">
        <v>349</v>
      </c>
      <c r="J22" s="20" t="s">
        <v>349</v>
      </c>
      <c r="K22" s="18" t="n">
        <v>2.11068308</v>
      </c>
      <c r="L22" s="20" t="n">
        <v>0.77668985</v>
      </c>
      <c r="M22" s="18" t="n">
        <v>0</v>
      </c>
      <c r="N22" s="20" t="n">
        <v>0</v>
      </c>
      <c r="O22" s="18" t="n">
        <v>0</v>
      </c>
      <c r="P22" s="20" t="n">
        <v>0</v>
      </c>
      <c r="Q22" s="18" t="n">
        <v>11.09003858</v>
      </c>
      <c r="R22" s="20" t="n">
        <v>2.20850343</v>
      </c>
    </row>
    <row r="23" spans="1:18">
      <c r="A23" s="15" t="s">
        <v>365</v>
      </c>
      <c r="B23" s="17" t="n">
        <v>5791</v>
      </c>
      <c r="C23" s="18">
        <f>(5108.0/B23*100)</f>
        <v/>
      </c>
      <c r="D23" s="19" t="n">
        <v>683</v>
      </c>
      <c r="E23" s="18" t="n">
        <v>59.18958113</v>
      </c>
      <c r="F23" s="20" t="n">
        <v>2.49363384</v>
      </c>
      <c r="G23" s="18" t="n">
        <v>27.87814192</v>
      </c>
      <c r="H23" s="20" t="n">
        <v>2.34465261</v>
      </c>
      <c r="I23" s="18" t="s">
        <v>349</v>
      </c>
      <c r="J23" s="20" t="s">
        <v>349</v>
      </c>
      <c r="K23" s="18" t="n">
        <v>1.8610033</v>
      </c>
      <c r="L23" s="20" t="n">
        <v>1.15680085</v>
      </c>
      <c r="M23" s="18" t="n">
        <v>0</v>
      </c>
      <c r="N23" s="20" t="n">
        <v>0</v>
      </c>
      <c r="O23" s="18" t="n">
        <v>0</v>
      </c>
      <c r="P23" s="20" t="n">
        <v>0</v>
      </c>
      <c r="Q23" s="18" t="n">
        <v>11.07127365</v>
      </c>
      <c r="R23" s="20" t="n">
        <v>1.39896213</v>
      </c>
    </row>
    <row r="24" spans="1:18">
      <c r="A24" s="15" t="s">
        <v>366</v>
      </c>
      <c r="B24" s="17" t="n">
        <v>3338</v>
      </c>
      <c r="C24" s="18">
        <f>(2935.0/B24*100)</f>
        <v/>
      </c>
      <c r="D24" s="19" t="n">
        <v>403</v>
      </c>
      <c r="E24" s="18" t="n">
        <v>40.40591777</v>
      </c>
      <c r="F24" s="20" t="n">
        <v>2.96010292</v>
      </c>
      <c r="G24" s="18" t="n">
        <v>54.13058783</v>
      </c>
      <c r="H24" s="20" t="n">
        <v>3.02992889</v>
      </c>
      <c r="I24" s="18" t="s">
        <v>349</v>
      </c>
      <c r="J24" s="20" t="s">
        <v>349</v>
      </c>
      <c r="K24" s="18" t="n">
        <v>1.11596894</v>
      </c>
      <c r="L24" s="20" t="n">
        <v>0.26635604</v>
      </c>
      <c r="M24" s="18" t="n">
        <v>0</v>
      </c>
      <c r="N24" s="20" t="n">
        <v>0</v>
      </c>
      <c r="O24" s="18" t="n">
        <v>0</v>
      </c>
      <c r="P24" s="20" t="n">
        <v>0</v>
      </c>
      <c r="Q24" s="18" t="n">
        <v>4.34752546</v>
      </c>
      <c r="R24" s="20" t="n">
        <v>1.15571868</v>
      </c>
    </row>
    <row r="25" spans="1:18">
      <c r="A25" s="15" t="s">
        <v>367</v>
      </c>
      <c r="B25" s="17" t="n">
        <v>2912</v>
      </c>
      <c r="C25" s="18">
        <f>(2547.0/B25*100)</f>
        <v/>
      </c>
      <c r="D25" s="19" t="n">
        <v>365</v>
      </c>
      <c r="E25" s="18" t="n">
        <v>54.11408376</v>
      </c>
      <c r="F25" s="20" t="n">
        <v>2.98730356</v>
      </c>
      <c r="G25" s="18" t="n">
        <v>38.76632518</v>
      </c>
      <c r="H25" s="20" t="n">
        <v>3.19439919</v>
      </c>
      <c r="I25" s="18" t="s">
        <v>349</v>
      </c>
      <c r="J25" s="20" t="s">
        <v>349</v>
      </c>
      <c r="K25" s="18" t="n">
        <v>1.60876311</v>
      </c>
      <c r="L25" s="20" t="n">
        <v>0.66330106</v>
      </c>
      <c r="M25" s="18" t="n">
        <v>0</v>
      </c>
      <c r="N25" s="20" t="n">
        <v>0</v>
      </c>
      <c r="O25" s="18" t="n">
        <v>0</v>
      </c>
      <c r="P25" s="20" t="n">
        <v>0</v>
      </c>
      <c r="Q25" s="18" t="n">
        <v>5.51082795</v>
      </c>
      <c r="R25" s="20" t="n">
        <v>1.32518796</v>
      </c>
    </row>
    <row r="26" spans="1:18">
      <c r="A26" s="15" t="s">
        <v>368</v>
      </c>
      <c r="B26" s="17" t="n">
        <v>2450</v>
      </c>
      <c r="C26" s="18">
        <f>(2165.0/B26*100)</f>
        <v/>
      </c>
      <c r="D26" s="19" t="n">
        <v>285</v>
      </c>
      <c r="E26" s="18" t="n">
        <v>73.28206259</v>
      </c>
      <c r="F26" s="20" t="n">
        <v>2.71969755</v>
      </c>
      <c r="G26" s="18" t="n">
        <v>18.63173297</v>
      </c>
      <c r="H26" s="20" t="n">
        <v>2.42124107</v>
      </c>
      <c r="I26" s="18" t="s">
        <v>349</v>
      </c>
      <c r="J26" s="20" t="s">
        <v>349</v>
      </c>
      <c r="K26" s="18" t="n">
        <v>0.25404202</v>
      </c>
      <c r="L26" s="20" t="n">
        <v>0.25477255</v>
      </c>
      <c r="M26" s="18" t="n">
        <v>0</v>
      </c>
      <c r="N26" s="20" t="n">
        <v>0</v>
      </c>
      <c r="O26" s="18" t="n">
        <v>0</v>
      </c>
      <c r="P26" s="20" t="n">
        <v>0</v>
      </c>
      <c r="Q26" s="18" t="n">
        <v>7.83216242</v>
      </c>
      <c r="R26" s="20" t="n">
        <v>1.53347162</v>
      </c>
    </row>
    <row r="27" spans="1:18">
      <c r="A27" s="15" t="s">
        <v>369</v>
      </c>
      <c r="B27" s="17" t="n">
        <v>2616</v>
      </c>
      <c r="C27" s="18">
        <f>(2308.0/B27*100)</f>
        <v/>
      </c>
      <c r="D27" s="19" t="n">
        <v>308</v>
      </c>
      <c r="E27" s="18" t="n">
        <v>60.31944083</v>
      </c>
      <c r="F27" s="20" t="n">
        <v>2.71717861</v>
      </c>
      <c r="G27" s="18" t="n">
        <v>30.87749915</v>
      </c>
      <c r="H27" s="20" t="n">
        <v>2.60866863</v>
      </c>
      <c r="I27" s="18" t="s">
        <v>349</v>
      </c>
      <c r="J27" s="20" t="s">
        <v>349</v>
      </c>
      <c r="K27" s="18" t="n">
        <v>1.29032626</v>
      </c>
      <c r="L27" s="20" t="n">
        <v>0.64975539</v>
      </c>
      <c r="M27" s="18" t="n">
        <v>0</v>
      </c>
      <c r="N27" s="20" t="n">
        <v>0</v>
      </c>
      <c r="O27" s="18" t="n">
        <v>0</v>
      </c>
      <c r="P27" s="20" t="n">
        <v>0</v>
      </c>
      <c r="Q27" s="18" t="n">
        <v>7.51273376</v>
      </c>
      <c r="R27" s="20" t="n">
        <v>1.61108501</v>
      </c>
    </row>
    <row r="28" spans="1:18">
      <c r="A28" s="15" t="s">
        <v>370</v>
      </c>
      <c r="B28" s="17" t="n">
        <v>3765</v>
      </c>
      <c r="C28" s="18">
        <f>(3359.0/B28*100)</f>
        <v/>
      </c>
      <c r="D28" s="19" t="n">
        <v>406</v>
      </c>
      <c r="E28" s="18" t="n">
        <v>82.73477921999999</v>
      </c>
      <c r="F28" s="20" t="n">
        <v>1.95926165</v>
      </c>
      <c r="G28" s="18" t="n">
        <v>9.62416955</v>
      </c>
      <c r="H28" s="20" t="n">
        <v>1.42933735</v>
      </c>
      <c r="I28" s="18" t="s">
        <v>349</v>
      </c>
      <c r="J28" s="20" t="s">
        <v>349</v>
      </c>
      <c r="K28" s="18" t="n">
        <v>0.32153047</v>
      </c>
      <c r="L28" s="20" t="n">
        <v>0.21857219</v>
      </c>
      <c r="M28" s="18" t="n">
        <v>0</v>
      </c>
      <c r="N28" s="20" t="n">
        <v>0</v>
      </c>
      <c r="O28" s="18" t="n">
        <v>0</v>
      </c>
      <c r="P28" s="20" t="n">
        <v>0</v>
      </c>
      <c r="Q28" s="18" t="n">
        <v>7.31952076</v>
      </c>
      <c r="R28" s="20" t="n">
        <v>1.57014689</v>
      </c>
    </row>
    <row r="29" spans="1:18">
      <c r="A29" s="15" t="s">
        <v>371</v>
      </c>
      <c r="B29" s="17" t="n">
        <v>2685</v>
      </c>
      <c r="C29" s="18">
        <f>(2356.0/B29*100)</f>
        <v/>
      </c>
      <c r="D29" s="19" t="n">
        <v>329</v>
      </c>
      <c r="E29" s="18" t="n">
        <v>68.40756951</v>
      </c>
      <c r="F29" s="20" t="n">
        <v>2.3766408</v>
      </c>
      <c r="G29" s="18" t="n">
        <v>25.04406515</v>
      </c>
      <c r="H29" s="20" t="n">
        <v>1.98584004</v>
      </c>
      <c r="I29" s="18" t="s">
        <v>349</v>
      </c>
      <c r="J29" s="20" t="s">
        <v>349</v>
      </c>
      <c r="K29" s="18" t="n">
        <v>1.16038079</v>
      </c>
      <c r="L29" s="20" t="n">
        <v>0.68662488</v>
      </c>
      <c r="M29" s="18" t="n">
        <v>0</v>
      </c>
      <c r="N29" s="20" t="n">
        <v>0</v>
      </c>
      <c r="O29" s="18" t="n">
        <v>0</v>
      </c>
      <c r="P29" s="20" t="n">
        <v>0</v>
      </c>
      <c r="Q29" s="18" t="n">
        <v>5.38798456</v>
      </c>
      <c r="R29" s="20" t="n">
        <v>1.40249717</v>
      </c>
    </row>
    <row r="30" spans="1:18">
      <c r="A30" s="15" t="s">
        <v>372</v>
      </c>
      <c r="B30" s="17" t="n">
        <v>2263</v>
      </c>
      <c r="C30" s="18">
        <f>(1995.0/B30*100)</f>
        <v/>
      </c>
      <c r="D30" s="19" t="n">
        <v>268</v>
      </c>
      <c r="E30" s="18" t="n">
        <v>57.0383392</v>
      </c>
      <c r="F30" s="20" t="n">
        <v>3.12808672</v>
      </c>
      <c r="G30" s="18" t="n">
        <v>28.73717741</v>
      </c>
      <c r="H30" s="20" t="n">
        <v>2.96609253</v>
      </c>
      <c r="I30" s="18" t="s">
        <v>349</v>
      </c>
      <c r="J30" s="20" t="s">
        <v>349</v>
      </c>
      <c r="K30" s="18" t="n">
        <v>0.99109612</v>
      </c>
      <c r="L30" s="20" t="n">
        <v>0.57405666</v>
      </c>
      <c r="M30" s="18" t="n">
        <v>0</v>
      </c>
      <c r="N30" s="20" t="n">
        <v>0</v>
      </c>
      <c r="O30" s="18" t="n">
        <v>0</v>
      </c>
      <c r="P30" s="20" t="n">
        <v>0</v>
      </c>
      <c r="Q30" s="18" t="n">
        <v>13.23338726</v>
      </c>
      <c r="R30" s="20" t="n">
        <v>1.89659896</v>
      </c>
    </row>
    <row r="31" spans="1:18">
      <c r="A31" s="15" t="s">
        <v>373</v>
      </c>
      <c r="B31" s="17" t="n">
        <v>2750</v>
      </c>
      <c r="C31" s="18">
        <f>(2396.0/B31*100)</f>
        <v/>
      </c>
      <c r="D31" s="19" t="n">
        <v>354</v>
      </c>
      <c r="E31" s="18" t="n">
        <v>60.59706597</v>
      </c>
      <c r="F31" s="20" t="n">
        <v>2.63497295</v>
      </c>
      <c r="G31" s="18" t="n">
        <v>26.70835754</v>
      </c>
      <c r="H31" s="20" t="n">
        <v>2.47981217</v>
      </c>
      <c r="I31" s="18" t="s">
        <v>349</v>
      </c>
      <c r="J31" s="20" t="s">
        <v>349</v>
      </c>
      <c r="K31" s="18" t="n">
        <v>2.5232372</v>
      </c>
      <c r="L31" s="20" t="n">
        <v>0.84712309</v>
      </c>
      <c r="M31" s="18" t="n">
        <v>0</v>
      </c>
      <c r="N31" s="20" t="n">
        <v>0</v>
      </c>
      <c r="O31" s="18" t="n">
        <v>0</v>
      </c>
      <c r="P31" s="20" t="n">
        <v>0</v>
      </c>
      <c r="Q31" s="18" t="n">
        <v>10.17133929</v>
      </c>
      <c r="R31" s="20" t="n">
        <v>1.62021789</v>
      </c>
    </row>
    <row r="32" spans="1:18">
      <c r="A32" s="15" t="s">
        <v>374</v>
      </c>
      <c r="B32" s="17" t="n">
        <v>2269</v>
      </c>
      <c r="C32" s="18">
        <f>(1905.0/B32*100)</f>
        <v/>
      </c>
      <c r="D32" s="19" t="n">
        <v>364</v>
      </c>
      <c r="E32" s="18" t="n">
        <v>66.23405808</v>
      </c>
      <c r="F32" s="20" t="n">
        <v>2.19416813</v>
      </c>
      <c r="G32" s="18" t="n">
        <v>26.65604127</v>
      </c>
      <c r="H32" s="20" t="n">
        <v>2.16561313</v>
      </c>
      <c r="I32" s="18" t="s">
        <v>349</v>
      </c>
      <c r="J32" s="20" t="s">
        <v>349</v>
      </c>
      <c r="K32" s="18" t="n">
        <v>0.51306391</v>
      </c>
      <c r="L32" s="20" t="n">
        <v>0.34914913</v>
      </c>
      <c r="M32" s="18" t="n">
        <v>0</v>
      </c>
      <c r="N32" s="20" t="n">
        <v>0</v>
      </c>
      <c r="O32" s="18" t="n">
        <v>0</v>
      </c>
      <c r="P32" s="20" t="n">
        <v>0</v>
      </c>
      <c r="Q32" s="18" t="n">
        <v>6.59683674</v>
      </c>
      <c r="R32" s="20" t="n">
        <v>1.26643444</v>
      </c>
    </row>
    <row r="33" spans="1:18">
      <c r="A33" s="15" t="s">
        <v>375</v>
      </c>
      <c r="B33" s="17" t="n">
        <v>3674</v>
      </c>
      <c r="C33" s="18">
        <f>(3225.0/B33*100)</f>
        <v/>
      </c>
      <c r="D33" s="19" t="n">
        <v>449</v>
      </c>
      <c r="E33" s="18" t="n">
        <v>62.86244506</v>
      </c>
      <c r="F33" s="20" t="n">
        <v>2.75025992</v>
      </c>
      <c r="G33" s="18" t="n">
        <v>22.05894207</v>
      </c>
      <c r="H33" s="20" t="n">
        <v>2.1851143</v>
      </c>
      <c r="I33" s="18" t="s">
        <v>349</v>
      </c>
      <c r="J33" s="20" t="s">
        <v>349</v>
      </c>
      <c r="K33" s="18" t="n">
        <v>2.24389528</v>
      </c>
      <c r="L33" s="20" t="n">
        <v>1.23920968</v>
      </c>
      <c r="M33" s="18" t="n">
        <v>0</v>
      </c>
      <c r="N33" s="20" t="n">
        <v>0</v>
      </c>
      <c r="O33" s="18" t="n">
        <v>0</v>
      </c>
      <c r="P33" s="20" t="n">
        <v>0</v>
      </c>
      <c r="Q33" s="18" t="n">
        <v>12.83471759</v>
      </c>
      <c r="R33" s="20" t="n">
        <v>1.92842377</v>
      </c>
    </row>
    <row r="34" spans="1:18">
      <c r="A34" s="15" t="s">
        <v>376</v>
      </c>
      <c r="B34" s="17" t="n">
        <v>3315</v>
      </c>
      <c r="C34" s="18">
        <f>(2911.0/B34*100)</f>
        <v/>
      </c>
      <c r="D34" s="19" t="n">
        <v>404</v>
      </c>
      <c r="E34" s="18" t="n">
        <v>69.47742298999999</v>
      </c>
      <c r="F34" s="20" t="n">
        <v>2.52923015</v>
      </c>
      <c r="G34" s="18" t="n">
        <v>20.75613795</v>
      </c>
      <c r="H34" s="20" t="n">
        <v>2.15441077</v>
      </c>
      <c r="I34" s="18" t="s">
        <v>349</v>
      </c>
      <c r="J34" s="20" t="s">
        <v>349</v>
      </c>
      <c r="K34" s="18" t="n">
        <v>0.73354287</v>
      </c>
      <c r="L34" s="20" t="n">
        <v>0.444102</v>
      </c>
      <c r="M34" s="18" t="n">
        <v>0</v>
      </c>
      <c r="N34" s="20" t="n">
        <v>0</v>
      </c>
      <c r="O34" s="18" t="n">
        <v>0</v>
      </c>
      <c r="P34" s="20" t="n">
        <v>0</v>
      </c>
      <c r="Q34" s="18" t="n">
        <v>9.0328962</v>
      </c>
      <c r="R34" s="20" t="n">
        <v>1.39619026</v>
      </c>
    </row>
    <row r="35" spans="1:18">
      <c r="A35" s="15" t="s">
        <v>377</v>
      </c>
      <c r="B35" s="17" t="n">
        <v>3505</v>
      </c>
      <c r="C35" s="18">
        <f>(3092.0/B35*100)</f>
        <v/>
      </c>
      <c r="D35" s="19" t="n">
        <v>413</v>
      </c>
      <c r="E35" s="18" t="n">
        <v>59.32119826</v>
      </c>
      <c r="F35" s="20" t="n">
        <v>3.35573404</v>
      </c>
      <c r="G35" s="18" t="n">
        <v>32.16794871</v>
      </c>
      <c r="H35" s="20" t="n">
        <v>3.38532184</v>
      </c>
      <c r="I35" s="18" t="s">
        <v>349</v>
      </c>
      <c r="J35" s="20" t="s">
        <v>349</v>
      </c>
      <c r="K35" s="18" t="n">
        <v>0.78602522</v>
      </c>
      <c r="L35" s="20" t="n">
        <v>0.48868278</v>
      </c>
      <c r="M35" s="18" t="n">
        <v>0</v>
      </c>
      <c r="N35" s="20" t="n">
        <v>0</v>
      </c>
      <c r="O35" s="18" t="n">
        <v>0</v>
      </c>
      <c r="P35" s="20" t="n">
        <v>0</v>
      </c>
      <c r="Q35" s="18" t="n">
        <v>7.72482781</v>
      </c>
      <c r="R35" s="20" t="n">
        <v>1.63117785</v>
      </c>
    </row>
    <row r="36" spans="1:18">
      <c r="A36" s="15" t="s">
        <v>378</v>
      </c>
      <c r="B36" s="17" t="n">
        <v>3332</v>
      </c>
      <c r="C36" s="18">
        <f>(2927.0/B36*100)</f>
        <v/>
      </c>
      <c r="D36" s="19" t="n">
        <v>405</v>
      </c>
      <c r="E36" s="18" t="n">
        <v>58.43454587</v>
      </c>
      <c r="F36" s="20" t="n">
        <v>2.5951484</v>
      </c>
      <c r="G36" s="18" t="n">
        <v>26.90999386</v>
      </c>
      <c r="H36" s="20" t="n">
        <v>2.36559522</v>
      </c>
      <c r="I36" s="18" t="s">
        <v>349</v>
      </c>
      <c r="J36" s="20" t="s">
        <v>349</v>
      </c>
      <c r="K36" s="18" t="n">
        <v>2.62182797</v>
      </c>
      <c r="L36" s="20" t="n">
        <v>0.86772908</v>
      </c>
      <c r="M36" s="18" t="n">
        <v>0</v>
      </c>
      <c r="N36" s="20" t="n">
        <v>0</v>
      </c>
      <c r="O36" s="18" t="n">
        <v>0</v>
      </c>
      <c r="P36" s="20" t="n">
        <v>0</v>
      </c>
      <c r="Q36" s="18" t="n">
        <v>12.0336323</v>
      </c>
      <c r="R36" s="20" t="n">
        <v>1.45450777</v>
      </c>
    </row>
    <row r="37" spans="1:18">
      <c r="A37" s="15" t="s">
        <v>379</v>
      </c>
      <c r="B37" s="17" t="n">
        <v>2727</v>
      </c>
      <c r="C37" s="18">
        <f>(2428.0/B37*100)</f>
        <v/>
      </c>
      <c r="D37" s="19" t="n">
        <v>299</v>
      </c>
      <c r="E37" s="18" t="n">
        <v>57.3078366</v>
      </c>
      <c r="F37" s="20" t="n">
        <v>2.64972261</v>
      </c>
      <c r="G37" s="18" t="n">
        <v>19.87232044</v>
      </c>
      <c r="H37" s="20" t="n">
        <v>2.25747781</v>
      </c>
      <c r="I37" s="18" t="s">
        <v>349</v>
      </c>
      <c r="J37" s="20" t="s">
        <v>349</v>
      </c>
      <c r="K37" s="18" t="n">
        <v>3.45114555</v>
      </c>
      <c r="L37" s="20" t="n">
        <v>1.25470239</v>
      </c>
      <c r="M37" s="18" t="n">
        <v>0</v>
      </c>
      <c r="N37" s="20" t="n">
        <v>0</v>
      </c>
      <c r="O37" s="18" t="n">
        <v>0</v>
      </c>
      <c r="P37" s="20" t="n">
        <v>0</v>
      </c>
      <c r="Q37" s="18" t="n">
        <v>19.3686974</v>
      </c>
      <c r="R37" s="20" t="n">
        <v>2.18636566</v>
      </c>
    </row>
    <row r="38" spans="1:18">
      <c r="A38" s="15" t="s">
        <v>380</v>
      </c>
      <c r="B38" s="17" t="n">
        <v>3053</v>
      </c>
      <c r="C38" s="18">
        <f>(2562.0/B38*100)</f>
        <v/>
      </c>
      <c r="D38" s="19" t="n">
        <v>491</v>
      </c>
      <c r="E38" s="18" t="n">
        <v>61.81595671</v>
      </c>
      <c r="F38" s="20" t="n">
        <v>2.47207019</v>
      </c>
      <c r="G38" s="18" t="n">
        <v>28.89749152</v>
      </c>
      <c r="H38" s="20" t="n">
        <v>2.50314265</v>
      </c>
      <c r="I38" s="18" t="s">
        <v>349</v>
      </c>
      <c r="J38" s="20" t="s">
        <v>349</v>
      </c>
      <c r="K38" s="18" t="n">
        <v>1.67174998</v>
      </c>
      <c r="L38" s="20" t="n">
        <v>0.65173528</v>
      </c>
      <c r="M38" s="18" t="n">
        <v>0</v>
      </c>
      <c r="N38" s="20" t="n">
        <v>0</v>
      </c>
      <c r="O38" s="18" t="n">
        <v>0</v>
      </c>
      <c r="P38" s="20" t="n">
        <v>0</v>
      </c>
      <c r="Q38" s="18" t="n">
        <v>7.61480179</v>
      </c>
      <c r="R38" s="20" t="n">
        <v>1.32101566</v>
      </c>
    </row>
    <row r="39" spans="1:18">
      <c r="A39" s="15" t="s">
        <v>381</v>
      </c>
      <c r="B39" s="17" t="n">
        <v>2957</v>
      </c>
      <c r="C39" s="18">
        <f>(2594.0/B39*100)</f>
        <v/>
      </c>
      <c r="D39" s="19" t="n">
        <v>363</v>
      </c>
      <c r="E39" s="18" t="n">
        <v>76.61321741</v>
      </c>
      <c r="F39" s="20" t="n">
        <v>2.08607633</v>
      </c>
      <c r="G39" s="18" t="n">
        <v>12.30399909</v>
      </c>
      <c r="H39" s="20" t="n">
        <v>1.76265237</v>
      </c>
      <c r="I39" s="18" t="s">
        <v>349</v>
      </c>
      <c r="J39" s="20" t="s">
        <v>349</v>
      </c>
      <c r="K39" s="18" t="n">
        <v>0.92027785</v>
      </c>
      <c r="L39" s="20" t="n">
        <v>0.5376334699999999</v>
      </c>
      <c r="M39" s="18" t="n">
        <v>0</v>
      </c>
      <c r="N39" s="20" t="n">
        <v>0</v>
      </c>
      <c r="O39" s="18" t="n">
        <v>0</v>
      </c>
      <c r="P39" s="20" t="n">
        <v>0</v>
      </c>
      <c r="Q39" s="18" t="n">
        <v>10.16250565</v>
      </c>
      <c r="R39" s="20" t="n">
        <v>1.4164322</v>
      </c>
    </row>
    <row r="40" spans="1:18">
      <c r="A40" s="15" t="s">
        <v>382</v>
      </c>
      <c r="B40" s="17" t="n">
        <v>7235</v>
      </c>
      <c r="C40" s="18">
        <f>(6330.0/B40*100)</f>
        <v/>
      </c>
      <c r="D40" s="19" t="n">
        <v>905</v>
      </c>
      <c r="E40" s="18" t="n">
        <v>67.15620354000001</v>
      </c>
      <c r="F40" s="20" t="n">
        <v>2.34755</v>
      </c>
      <c r="G40" s="18" t="n">
        <v>22.14587156</v>
      </c>
      <c r="H40" s="20" t="n">
        <v>2.05274817</v>
      </c>
      <c r="I40" s="18" t="s">
        <v>349</v>
      </c>
      <c r="J40" s="20" t="s">
        <v>349</v>
      </c>
      <c r="K40" s="18" t="n">
        <v>1.56245591</v>
      </c>
      <c r="L40" s="20" t="n">
        <v>0.67858831</v>
      </c>
      <c r="M40" s="18" t="n">
        <v>0</v>
      </c>
      <c r="N40" s="20" t="n">
        <v>0</v>
      </c>
      <c r="O40" s="18" t="n">
        <v>0</v>
      </c>
      <c r="P40" s="20" t="n">
        <v>0</v>
      </c>
      <c r="Q40" s="18" t="n">
        <v>9.135468980000001</v>
      </c>
      <c r="R40" s="20" t="n">
        <v>1.17229896</v>
      </c>
    </row>
    <row r="41" spans="1:18">
      <c r="A41" s="15" t="s">
        <v>383</v>
      </c>
      <c r="B41" s="17" t="n">
        <v>2858</v>
      </c>
      <c r="C41" s="18">
        <f>(2537.0/B41*100)</f>
        <v/>
      </c>
      <c r="D41" s="19" t="n">
        <v>321</v>
      </c>
      <c r="E41" s="18" t="n">
        <v>70.03038459</v>
      </c>
      <c r="F41" s="20" t="n">
        <v>3.03733923</v>
      </c>
      <c r="G41" s="18" t="n">
        <v>24.40290373</v>
      </c>
      <c r="H41" s="20" t="n">
        <v>2.98015262</v>
      </c>
      <c r="I41" s="18" t="s">
        <v>349</v>
      </c>
      <c r="J41" s="20" t="s">
        <v>349</v>
      </c>
      <c r="K41" s="18" t="n">
        <v>0.5158539599999999</v>
      </c>
      <c r="L41" s="20" t="n">
        <v>0.36481074</v>
      </c>
      <c r="M41" s="18" t="n">
        <v>0</v>
      </c>
      <c r="N41" s="20" t="n">
        <v>0</v>
      </c>
      <c r="O41" s="18" t="n">
        <v>0</v>
      </c>
      <c r="P41" s="20" t="n">
        <v>0</v>
      </c>
      <c r="Q41" s="18" t="n">
        <v>5.05085771</v>
      </c>
      <c r="R41" s="20" t="n">
        <v>1.23523444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(9994.0/B46*100)</f>
        <v/>
      </c>
      <c r="D46" s="19" t="n">
        <v>1074</v>
      </c>
      <c r="E46" s="18" t="n">
        <v>71.81213978</v>
      </c>
      <c r="F46" s="20" t="n">
        <v>1.6284973</v>
      </c>
      <c r="G46" s="18" t="n">
        <v>9.370117479999999</v>
      </c>
      <c r="H46" s="20" t="n">
        <v>1.21403311</v>
      </c>
      <c r="I46" s="18" t="s">
        <v>349</v>
      </c>
      <c r="J46" s="20" t="s">
        <v>349</v>
      </c>
      <c r="K46" s="18" t="n">
        <v>4.29822812</v>
      </c>
      <c r="L46" s="20" t="n">
        <v>0.82106514</v>
      </c>
      <c r="M46" s="18" t="n">
        <v>0</v>
      </c>
      <c r="N46" s="20" t="n">
        <v>0</v>
      </c>
      <c r="O46" s="18" t="n">
        <v>0</v>
      </c>
      <c r="P46" s="20" t="n">
        <v>0</v>
      </c>
      <c r="Q46" s="18" t="n">
        <v>14.51951462</v>
      </c>
      <c r="R46" s="20" t="n">
        <v>1.36274517</v>
      </c>
    </row>
    <row r="47" spans="1:18">
      <c r="A47" s="15" t="s">
        <v>389</v>
      </c>
      <c r="B47" s="17" t="n">
        <v>3105</v>
      </c>
      <c r="C47" s="18">
        <f>(2738.0/B47*100)</f>
        <v/>
      </c>
      <c r="D47" s="19" t="n">
        <v>367</v>
      </c>
      <c r="E47" s="18" t="n">
        <v>70.26977094</v>
      </c>
      <c r="F47" s="20" t="n">
        <v>2.68133563</v>
      </c>
      <c r="G47" s="18" t="n">
        <v>16.64382731</v>
      </c>
      <c r="H47" s="20" t="n">
        <v>2.24068096</v>
      </c>
      <c r="I47" s="18" t="s">
        <v>349</v>
      </c>
      <c r="J47" s="20" t="s">
        <v>349</v>
      </c>
      <c r="K47" s="18" t="n">
        <v>1.86024843</v>
      </c>
      <c r="L47" s="20" t="n">
        <v>0.57854083</v>
      </c>
      <c r="M47" s="18" t="n">
        <v>0</v>
      </c>
      <c r="N47" s="20" t="n">
        <v>0</v>
      </c>
      <c r="O47" s="18" t="n">
        <v>0</v>
      </c>
      <c r="P47" s="20" t="n">
        <v>0</v>
      </c>
      <c r="Q47" s="18" t="n">
        <v>11.22615332</v>
      </c>
      <c r="R47" s="20" t="n">
        <v>1.92886232</v>
      </c>
    </row>
    <row r="48" spans="1:18">
      <c r="A48" s="15" t="s">
        <v>390</v>
      </c>
      <c r="B48" s="17" t="n">
        <v>5159</v>
      </c>
      <c r="C48" s="18">
        <f>(4504.0/B48*100)</f>
        <v/>
      </c>
      <c r="D48" s="19" t="n">
        <v>655</v>
      </c>
      <c r="E48" s="18" t="n">
        <v>63.33999376</v>
      </c>
      <c r="F48" s="20" t="n">
        <v>2.63209296</v>
      </c>
      <c r="G48" s="18" t="n">
        <v>26.99232329</v>
      </c>
      <c r="H48" s="20" t="n">
        <v>2.36941477</v>
      </c>
      <c r="I48" s="18" t="s">
        <v>349</v>
      </c>
      <c r="J48" s="20" t="s">
        <v>349</v>
      </c>
      <c r="K48" s="18" t="n">
        <v>0.85611742</v>
      </c>
      <c r="L48" s="20" t="n">
        <v>0.38791775</v>
      </c>
      <c r="M48" s="18" t="n">
        <v>0</v>
      </c>
      <c r="N48" s="20" t="n">
        <v>0</v>
      </c>
      <c r="O48" s="18" t="n">
        <v>0</v>
      </c>
      <c r="P48" s="20" t="n">
        <v>0</v>
      </c>
      <c r="Q48" s="18" t="n">
        <v>8.811565529999999</v>
      </c>
      <c r="R48" s="20" t="n">
        <v>1.46038382</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(4981.0/B50*100)</f>
        <v/>
      </c>
      <c r="D50" s="19" t="n">
        <v>656</v>
      </c>
      <c r="E50" s="18" t="n">
        <v>77.64276964</v>
      </c>
      <c r="F50" s="20" t="n">
        <v>2.37205689</v>
      </c>
      <c r="G50" s="18" t="n">
        <v>11.27692825</v>
      </c>
      <c r="H50" s="20" t="n">
        <v>1.4194386</v>
      </c>
      <c r="I50" s="18" t="s">
        <v>349</v>
      </c>
      <c r="J50" s="20" t="s">
        <v>349</v>
      </c>
      <c r="K50" s="18" t="n">
        <v>1.78188372</v>
      </c>
      <c r="L50" s="20" t="n">
        <v>0.62879688</v>
      </c>
      <c r="M50" s="18" t="n">
        <v>0</v>
      </c>
      <c r="N50" s="20" t="n">
        <v>0</v>
      </c>
      <c r="O50" s="18" t="n">
        <v>0</v>
      </c>
      <c r="P50" s="20" t="n">
        <v>0</v>
      </c>
      <c r="Q50" s="18" t="n">
        <v>9.29841839</v>
      </c>
      <c r="R50" s="20" t="n">
        <v>1.86699073</v>
      </c>
    </row>
    <row r="51" spans="1:18">
      <c r="A51" s="15" t="s">
        <v>393</v>
      </c>
      <c r="B51" s="17" t="n">
        <v>3372</v>
      </c>
      <c r="C51" s="18">
        <f>(3041.0/B51*100)</f>
        <v/>
      </c>
      <c r="D51" s="19" t="n">
        <v>331</v>
      </c>
      <c r="E51" s="18" t="n">
        <v>71.95997694</v>
      </c>
      <c r="F51" s="20" t="n">
        <v>2.68977113</v>
      </c>
      <c r="G51" s="18" t="n">
        <v>14.29979811</v>
      </c>
      <c r="H51" s="20" t="n">
        <v>2.52305045</v>
      </c>
      <c r="I51" s="18" t="s">
        <v>349</v>
      </c>
      <c r="J51" s="20" t="s">
        <v>349</v>
      </c>
      <c r="K51" s="18" t="n">
        <v>2.48545655</v>
      </c>
      <c r="L51" s="20" t="n">
        <v>0.92963654</v>
      </c>
      <c r="M51" s="18" t="n">
        <v>0</v>
      </c>
      <c r="N51" s="20" t="n">
        <v>0</v>
      </c>
      <c r="O51" s="18" t="n">
        <v>0</v>
      </c>
      <c r="P51" s="20" t="n">
        <v>0</v>
      </c>
      <c r="Q51" s="18" t="n">
        <v>11.25476839</v>
      </c>
      <c r="R51" s="20" t="n">
        <v>1.67663285</v>
      </c>
    </row>
    <row r="52" spans="1:18">
      <c r="A52" s="15" t="s">
        <v>394</v>
      </c>
      <c r="B52" s="17" t="n">
        <v>2796</v>
      </c>
      <c r="C52" s="18">
        <f>(2451.0/B52*100)</f>
        <v/>
      </c>
      <c r="D52" s="19" t="n">
        <v>345</v>
      </c>
      <c r="E52" s="18" t="n">
        <v>60.4414811</v>
      </c>
      <c r="F52" s="20" t="n">
        <v>2.78855615</v>
      </c>
      <c r="G52" s="18" t="n">
        <v>22.59262939</v>
      </c>
      <c r="H52" s="20" t="n">
        <v>2.23950155</v>
      </c>
      <c r="I52" s="18" t="s">
        <v>349</v>
      </c>
      <c r="J52" s="20" t="s">
        <v>349</v>
      </c>
      <c r="K52" s="18" t="n">
        <v>1.21280318</v>
      </c>
      <c r="L52" s="20" t="n">
        <v>0.62619812</v>
      </c>
      <c r="M52" s="18" t="n">
        <v>0</v>
      </c>
      <c r="N52" s="20" t="n">
        <v>0</v>
      </c>
      <c r="O52" s="18" t="n">
        <v>0</v>
      </c>
      <c r="P52" s="20" t="n">
        <v>0</v>
      </c>
      <c r="Q52" s="18" t="n">
        <v>15.75308633</v>
      </c>
      <c r="R52" s="20" t="n">
        <v>1.96937185</v>
      </c>
    </row>
    <row r="53" spans="1:18">
      <c r="A53" s="15" t="s">
        <v>395</v>
      </c>
      <c r="B53" s="17" t="n">
        <v>2811</v>
      </c>
      <c r="C53" s="18">
        <f>(2451.0/B53*100)</f>
        <v/>
      </c>
      <c r="D53" s="19" t="n">
        <v>360</v>
      </c>
      <c r="E53" s="18" t="n">
        <v>68.38983940999999</v>
      </c>
      <c r="F53" s="20" t="n">
        <v>2.68852668</v>
      </c>
      <c r="G53" s="18" t="n">
        <v>19.12196536</v>
      </c>
      <c r="H53" s="20" t="n">
        <v>2.15669295</v>
      </c>
      <c r="I53" s="18" t="s">
        <v>349</v>
      </c>
      <c r="J53" s="20" t="s">
        <v>349</v>
      </c>
      <c r="K53" s="18" t="n">
        <v>2.47762088</v>
      </c>
      <c r="L53" s="20" t="n">
        <v>0.82370572</v>
      </c>
      <c r="M53" s="18" t="n">
        <v>0</v>
      </c>
      <c r="N53" s="20" t="n">
        <v>0</v>
      </c>
      <c r="O53" s="18" t="n">
        <v>0</v>
      </c>
      <c r="P53" s="20" t="n">
        <v>0</v>
      </c>
      <c r="Q53" s="18" t="n">
        <v>10.01057435</v>
      </c>
      <c r="R53" s="20" t="n">
        <v>1.67534245</v>
      </c>
    </row>
    <row r="54" spans="1:18">
      <c r="A54" s="15" t="s">
        <v>396</v>
      </c>
      <c r="B54" s="17" t="n">
        <v>2266</v>
      </c>
      <c r="C54" s="18">
        <f>(1865.0/B54*100)</f>
        <v/>
      </c>
      <c r="D54" s="19" t="n">
        <v>401</v>
      </c>
      <c r="E54" s="18" t="n">
        <v>72.99612537</v>
      </c>
      <c r="F54" s="20" t="n">
        <v>2.33896774</v>
      </c>
      <c r="G54" s="18" t="n">
        <v>1.2131647</v>
      </c>
      <c r="H54" s="20" t="n">
        <v>0.63758408</v>
      </c>
      <c r="I54" s="18" t="s">
        <v>349</v>
      </c>
      <c r="J54" s="20" t="s">
        <v>349</v>
      </c>
      <c r="K54" s="18" t="n">
        <v>13.00672969</v>
      </c>
      <c r="L54" s="20" t="n">
        <v>1.71258271</v>
      </c>
      <c r="M54" s="18" t="n">
        <v>0</v>
      </c>
      <c r="N54" s="20" t="n">
        <v>0</v>
      </c>
      <c r="O54" s="18" t="n">
        <v>0</v>
      </c>
      <c r="P54" s="20" t="n">
        <v>0</v>
      </c>
      <c r="Q54" s="18" t="n">
        <v>12.78398023</v>
      </c>
      <c r="R54" s="20" t="n">
        <v>1.88575314</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(2358.0/B56*100)</f>
        <v/>
      </c>
      <c r="D56" s="19" t="n">
        <v>326</v>
      </c>
      <c r="E56" s="18" t="n">
        <v>58.70264344</v>
      </c>
      <c r="F56" s="20" t="n">
        <v>2.7951713</v>
      </c>
      <c r="G56" s="18" t="n">
        <v>37.20435729</v>
      </c>
      <c r="H56" s="20" t="n">
        <v>2.85373925</v>
      </c>
      <c r="I56" s="18" t="s">
        <v>349</v>
      </c>
      <c r="J56" s="20" t="s">
        <v>349</v>
      </c>
      <c r="K56" s="18" t="n">
        <v>0.6394616400000001</v>
      </c>
      <c r="L56" s="20" t="n">
        <v>0.37544081</v>
      </c>
      <c r="M56" s="18" t="n">
        <v>0</v>
      </c>
      <c r="N56" s="20" t="n">
        <v>0</v>
      </c>
      <c r="O56" s="18" t="n">
        <v>0</v>
      </c>
      <c r="P56" s="20" t="n">
        <v>0</v>
      </c>
      <c r="Q56" s="18" t="n">
        <v>3.45353763</v>
      </c>
      <c r="R56" s="20" t="n">
        <v>0.93601347</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(2897.0/B61*100)</f>
        <v/>
      </c>
      <c r="D61" s="19" t="n">
        <v>427</v>
      </c>
      <c r="E61" s="18" t="n">
        <v>69.75758777999999</v>
      </c>
      <c r="F61" s="20" t="n">
        <v>1.89946992</v>
      </c>
      <c r="G61" s="18" t="n">
        <v>20.22964491</v>
      </c>
      <c r="H61" s="20" t="n">
        <v>1.94556953</v>
      </c>
      <c r="I61" s="18" t="s">
        <v>349</v>
      </c>
      <c r="J61" s="20" t="s">
        <v>349</v>
      </c>
      <c r="K61" s="18" t="n">
        <v>0</v>
      </c>
      <c r="L61" s="20" t="n">
        <v>0</v>
      </c>
      <c r="M61" s="18" t="n">
        <v>0</v>
      </c>
      <c r="N61" s="20" t="n">
        <v>0</v>
      </c>
      <c r="O61" s="18" t="n">
        <v>0</v>
      </c>
      <c r="P61" s="20" t="n">
        <v>0</v>
      </c>
      <c r="Q61" s="18" t="n">
        <v>10.0127673</v>
      </c>
      <c r="R61" s="20" t="n">
        <v>1.54240417</v>
      </c>
    </row>
    <row r="62" spans="1:18">
      <c r="A62" s="15" t="s">
        <v>404</v>
      </c>
      <c r="B62" s="17" t="n">
        <v>2246</v>
      </c>
      <c r="C62" s="18">
        <f>(1982.0/B62*100)</f>
        <v/>
      </c>
      <c r="D62" s="19" t="n">
        <v>264</v>
      </c>
      <c r="E62" s="18" t="n">
        <v>56.40067855</v>
      </c>
      <c r="F62" s="20" t="n">
        <v>3.306685</v>
      </c>
      <c r="G62" s="18" t="n">
        <v>41.68792852</v>
      </c>
      <c r="H62" s="20" t="n">
        <v>3.36851324</v>
      </c>
      <c r="I62" s="18" t="s">
        <v>349</v>
      </c>
      <c r="J62" s="20" t="s">
        <v>349</v>
      </c>
      <c r="K62" s="18" t="n">
        <v>0</v>
      </c>
      <c r="L62" s="20" t="n">
        <v>0</v>
      </c>
      <c r="M62" s="18" t="n">
        <v>0</v>
      </c>
      <c r="N62" s="20" t="n">
        <v>0</v>
      </c>
      <c r="O62" s="18" t="n">
        <v>0</v>
      </c>
      <c r="P62" s="20" t="n">
        <v>0</v>
      </c>
      <c r="Q62" s="18" t="n">
        <v>1.91139293</v>
      </c>
      <c r="R62" s="20" t="n">
        <v>0.80601521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(2535.0/B66*100)</f>
        <v/>
      </c>
      <c r="D66" s="19" t="n">
        <v>359</v>
      </c>
      <c r="E66" s="18" t="n">
        <v>59.90625629</v>
      </c>
      <c r="F66" s="20" t="n">
        <v>2.24119377</v>
      </c>
      <c r="G66" s="18" t="n">
        <v>8.680299400000001</v>
      </c>
      <c r="H66" s="20" t="n">
        <v>1.43045605</v>
      </c>
      <c r="I66" s="18" t="s">
        <v>349</v>
      </c>
      <c r="J66" s="20" t="s">
        <v>349</v>
      </c>
      <c r="K66" s="18" t="n">
        <v>4.18019491</v>
      </c>
      <c r="L66" s="20" t="n">
        <v>1.0840435</v>
      </c>
      <c r="M66" s="18" t="n">
        <v>0</v>
      </c>
      <c r="N66" s="20" t="n">
        <v>0</v>
      </c>
      <c r="O66" s="18" t="n">
        <v>0</v>
      </c>
      <c r="P66" s="20" t="n">
        <v>0</v>
      </c>
      <c r="Q66" s="18" t="n">
        <v>27.2332494</v>
      </c>
      <c r="R66" s="20" t="n">
        <v>2.1713434</v>
      </c>
    </row>
    <row r="67" spans="1:18">
      <c r="A67" s="15" t="s">
        <v>409</v>
      </c>
      <c r="B67" s="17" t="n">
        <v>3511</v>
      </c>
      <c r="C67" s="18">
        <f>(3136.0/B67*100)</f>
        <v/>
      </c>
      <c r="D67" s="19" t="n">
        <v>375</v>
      </c>
      <c r="E67" s="18" t="n">
        <v>74.68403667</v>
      </c>
      <c r="F67" s="20" t="n">
        <v>2.35090242</v>
      </c>
      <c r="G67" s="18" t="n">
        <v>12.71746962</v>
      </c>
      <c r="H67" s="20" t="n">
        <v>1.81047827</v>
      </c>
      <c r="I67" s="18" t="s">
        <v>349</v>
      </c>
      <c r="J67" s="20" t="s">
        <v>349</v>
      </c>
      <c r="K67" s="18" t="n">
        <v>0.98724068</v>
      </c>
      <c r="L67" s="20" t="n">
        <v>0.60590214</v>
      </c>
      <c r="M67" s="18" t="n">
        <v>0</v>
      </c>
      <c r="N67" s="20" t="n">
        <v>0</v>
      </c>
      <c r="O67" s="18" t="n">
        <v>0</v>
      </c>
      <c r="P67" s="20" t="n">
        <v>0</v>
      </c>
      <c r="Q67" s="18" t="n">
        <v>11.61125303</v>
      </c>
      <c r="R67" s="20" t="n">
        <v>1.66068042</v>
      </c>
    </row>
    <row r="68" spans="1:18">
      <c r="A68" s="15" t="s">
        <v>410</v>
      </c>
      <c r="B68" s="17" t="n">
        <v>6049</v>
      </c>
      <c r="C68" s="18">
        <f>(5041.0/B68*100)</f>
        <v/>
      </c>
      <c r="D68" s="19" t="n">
        <v>1008</v>
      </c>
      <c r="E68" s="18" t="n">
        <v>76.03877833</v>
      </c>
      <c r="F68" s="20" t="n">
        <v>1.34386763</v>
      </c>
      <c r="G68" s="18" t="n">
        <v>10.48354296</v>
      </c>
      <c r="H68" s="20" t="n">
        <v>0.96654387</v>
      </c>
      <c r="I68" s="18" t="s">
        <v>349</v>
      </c>
      <c r="J68" s="20" t="s">
        <v>349</v>
      </c>
      <c r="K68" s="18" t="n">
        <v>5.13842832</v>
      </c>
      <c r="L68" s="20" t="n">
        <v>0.72239582</v>
      </c>
      <c r="M68" s="18" t="n">
        <v>0</v>
      </c>
      <c r="N68" s="20" t="n">
        <v>0</v>
      </c>
      <c r="O68" s="18" t="n">
        <v>0</v>
      </c>
      <c r="P68" s="20" t="n">
        <v>0</v>
      </c>
      <c r="Q68" s="18" t="n">
        <v>8.33925039</v>
      </c>
      <c r="R68" s="20" t="n">
        <v>0.81110845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(2587.0/B70*100)</f>
        <v/>
      </c>
      <c r="D70" s="19" t="n">
        <v>342</v>
      </c>
      <c r="E70" s="18" t="n">
        <v>63.28922561</v>
      </c>
      <c r="F70" s="20" t="n">
        <v>3.0930097</v>
      </c>
      <c r="G70" s="18" t="n">
        <v>26.4824963</v>
      </c>
      <c r="H70" s="20" t="n">
        <v>3.07550138</v>
      </c>
      <c r="I70" s="18" t="s">
        <v>349</v>
      </c>
      <c r="J70" s="20" t="s">
        <v>349</v>
      </c>
      <c r="K70" s="18" t="n">
        <v>0.88566015</v>
      </c>
      <c r="L70" s="20" t="n">
        <v>0.5868290900000001</v>
      </c>
      <c r="M70" s="18" t="n">
        <v>0</v>
      </c>
      <c r="N70" s="20" t="n">
        <v>0</v>
      </c>
      <c r="O70" s="18" t="n">
        <v>0</v>
      </c>
      <c r="P70" s="20" t="n">
        <v>0</v>
      </c>
      <c r="Q70" s="18" t="n">
        <v>9.34261794</v>
      </c>
      <c r="R70" s="20" t="n">
        <v>1.6274556</v>
      </c>
    </row>
    <row r="71" spans="1:18">
      <c r="A71" s="15" t="s">
        <v>413</v>
      </c>
      <c r="B71" s="17" t="n">
        <v>3142</v>
      </c>
      <c r="C71" s="18">
        <f>(2754.0/B71*100)</f>
        <v/>
      </c>
      <c r="D71" s="19" t="n">
        <v>388</v>
      </c>
      <c r="E71" s="18" t="n">
        <v>46.00342418</v>
      </c>
      <c r="F71" s="20" t="n">
        <v>3.03069336</v>
      </c>
      <c r="G71" s="18" t="n">
        <v>49.71549804</v>
      </c>
      <c r="H71" s="20" t="n">
        <v>2.97828259</v>
      </c>
      <c r="I71" s="18" t="s">
        <v>349</v>
      </c>
      <c r="J71" s="20" t="s">
        <v>349</v>
      </c>
      <c r="K71" s="18" t="n">
        <v>0.57175636</v>
      </c>
      <c r="L71" s="20" t="n">
        <v>0.34151361</v>
      </c>
      <c r="M71" s="18" t="n">
        <v>0</v>
      </c>
      <c r="N71" s="20" t="n">
        <v>0</v>
      </c>
      <c r="O71" s="18" t="n">
        <v>0</v>
      </c>
      <c r="P71" s="20" t="n">
        <v>0</v>
      </c>
      <c r="Q71" s="18" t="n">
        <v>3.70932143</v>
      </c>
      <c r="R71" s="20" t="n">
        <v>0.92845846</v>
      </c>
    </row>
    <row r="72" spans="1:18">
      <c r="A72" s="15" t="s">
        <v>414</v>
      </c>
      <c r="B72" s="17" t="n">
        <v>3889</v>
      </c>
      <c r="C72" s="18">
        <f>(3422.0/B72*100)</f>
        <v/>
      </c>
      <c r="D72" s="19" t="n">
        <v>467</v>
      </c>
      <c r="E72" s="18" t="n">
        <v>57.12294087</v>
      </c>
      <c r="F72" s="20" t="n">
        <v>2.61315705</v>
      </c>
      <c r="G72" s="18" t="n">
        <v>38.08683527</v>
      </c>
      <c r="H72" s="20" t="n">
        <v>2.532599</v>
      </c>
      <c r="I72" s="18" t="s">
        <v>349</v>
      </c>
      <c r="J72" s="20" t="s">
        <v>349</v>
      </c>
      <c r="K72" s="18" t="n">
        <v>0.26645518</v>
      </c>
      <c r="L72" s="20" t="n">
        <v>0.19258452</v>
      </c>
      <c r="M72" s="18" t="n">
        <v>0</v>
      </c>
      <c r="N72" s="20" t="n">
        <v>0</v>
      </c>
      <c r="O72" s="18" t="n">
        <v>0</v>
      </c>
      <c r="P72" s="20" t="n">
        <v>0</v>
      </c>
      <c r="Q72" s="18" t="n">
        <v>4.52376869</v>
      </c>
      <c r="R72" s="20" t="n">
        <v>1.03784494</v>
      </c>
    </row>
    <row r="73" spans="1:18">
      <c r="A73" s="15" t="s">
        <v>415</v>
      </c>
      <c r="B73" s="17" t="n">
        <v>3597</v>
      </c>
      <c r="C73" s="18">
        <f>(3184.0/B73*100)</f>
        <v/>
      </c>
      <c r="D73" s="19" t="n">
        <v>413</v>
      </c>
      <c r="E73" s="18" t="n">
        <v>75.54816838000001</v>
      </c>
      <c r="F73" s="20" t="n">
        <v>2.07438548</v>
      </c>
      <c r="G73" s="18" t="n">
        <v>18.36296795</v>
      </c>
      <c r="H73" s="20" t="n">
        <v>2.0549262</v>
      </c>
      <c r="I73" s="18" t="s">
        <v>349</v>
      </c>
      <c r="J73" s="20" t="s">
        <v>349</v>
      </c>
      <c r="K73" s="18" t="n">
        <v>0</v>
      </c>
      <c r="L73" s="20" t="n">
        <v>0</v>
      </c>
      <c r="M73" s="18" t="n">
        <v>0</v>
      </c>
      <c r="N73" s="20" t="n">
        <v>0</v>
      </c>
      <c r="O73" s="18" t="n">
        <v>0</v>
      </c>
      <c r="P73" s="20" t="n">
        <v>0</v>
      </c>
      <c r="Q73" s="18" t="n">
        <v>6.08886367</v>
      </c>
      <c r="R73" s="20" t="n">
        <v>1.45839876</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(2142.0/B75*100)</f>
        <v/>
      </c>
      <c r="D75" s="19" t="n">
        <v>264</v>
      </c>
      <c r="E75" s="18" t="n">
        <v>71.85284118</v>
      </c>
      <c r="F75" s="20" t="n">
        <v>2.59830656</v>
      </c>
      <c r="G75" s="18" t="n">
        <v>4.15535348</v>
      </c>
      <c r="H75" s="20" t="n">
        <v>1.24667823</v>
      </c>
      <c r="I75" s="18" t="s">
        <v>349</v>
      </c>
      <c r="J75" s="20" t="s">
        <v>349</v>
      </c>
      <c r="K75" s="18" t="n">
        <v>6.20649924</v>
      </c>
      <c r="L75" s="20" t="n">
        <v>1.34120143</v>
      </c>
      <c r="M75" s="18" t="n">
        <v>0</v>
      </c>
      <c r="N75" s="20" t="n">
        <v>0</v>
      </c>
      <c r="O75" s="18" t="n">
        <v>0</v>
      </c>
      <c r="P75" s="20" t="n">
        <v>0</v>
      </c>
      <c r="Q75" s="18" t="n">
        <v>17.7853061</v>
      </c>
      <c r="R75" s="20" t="n">
        <v>2.49198586</v>
      </c>
    </row>
    <row r="76" spans="1:18">
      <c r="A76" s="15" t="s">
        <v>418</v>
      </c>
      <c r="B76" s="17" t="n">
        <v>7052</v>
      </c>
      <c r="C76" s="18">
        <f>(6179.0/B76*100)</f>
        <v/>
      </c>
      <c r="D76" s="19" t="n">
        <v>873</v>
      </c>
      <c r="E76" s="18" t="n">
        <v>73.15735797000001</v>
      </c>
      <c r="F76" s="20" t="n">
        <v>1.81365508</v>
      </c>
      <c r="G76" s="18" t="n">
        <v>15.30126861</v>
      </c>
      <c r="H76" s="20" t="n">
        <v>1.61911273</v>
      </c>
      <c r="I76" s="18" t="s">
        <v>349</v>
      </c>
      <c r="J76" s="20" t="s">
        <v>349</v>
      </c>
      <c r="K76" s="18" t="n">
        <v>1.59066846</v>
      </c>
      <c r="L76" s="20" t="n">
        <v>0.56181251</v>
      </c>
      <c r="M76" s="18" t="n">
        <v>0</v>
      </c>
      <c r="N76" s="20" t="n">
        <v>0</v>
      </c>
      <c r="O76" s="18" t="n">
        <v>0</v>
      </c>
      <c r="P76" s="20" t="n">
        <v>0</v>
      </c>
      <c r="Q76" s="18" t="n">
        <v>9.950704959999999</v>
      </c>
      <c r="R76" s="20" t="n">
        <v>1.11851083</v>
      </c>
    </row>
    <row r="77" spans="1:18">
      <c r="A77" s="15" t="s">
        <v>419</v>
      </c>
      <c r="B77" s="17" t="n">
        <v>2908</v>
      </c>
      <c r="C77" s="18">
        <f>(2584.0/B77*100)</f>
        <v/>
      </c>
      <c r="D77" s="19" t="n">
        <v>324</v>
      </c>
      <c r="E77" s="18" t="n">
        <v>64.11479106</v>
      </c>
      <c r="F77" s="20" t="n">
        <v>2.6867535</v>
      </c>
      <c r="G77" s="18" t="n">
        <v>10.63336972</v>
      </c>
      <c r="H77" s="20" t="n">
        <v>1.62833266</v>
      </c>
      <c r="I77" s="18" t="s">
        <v>349</v>
      </c>
      <c r="J77" s="20" t="s">
        <v>349</v>
      </c>
      <c r="K77" s="18" t="n">
        <v>4.65127369</v>
      </c>
      <c r="L77" s="20" t="n">
        <v>1.40271927</v>
      </c>
      <c r="M77" s="18" t="n">
        <v>0</v>
      </c>
      <c r="N77" s="20" t="n">
        <v>0</v>
      </c>
      <c r="O77" s="18" t="n">
        <v>0</v>
      </c>
      <c r="P77" s="20" t="n">
        <v>0</v>
      </c>
      <c r="Q77" s="18" t="n">
        <v>20.60056553</v>
      </c>
      <c r="R77" s="20" t="n">
        <v>2.13830866</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(3658.0/B81*100)</f>
        <v/>
      </c>
      <c r="D81" s="19" t="n">
        <v>505</v>
      </c>
      <c r="E81" s="18" t="n">
        <v>76.26149506</v>
      </c>
      <c r="F81" s="20" t="n">
        <v>2.34655955</v>
      </c>
      <c r="G81" s="18" t="n">
        <v>18.24948845</v>
      </c>
      <c r="H81" s="20" t="n">
        <v>2.04999217</v>
      </c>
      <c r="I81" s="18" t="s">
        <v>349</v>
      </c>
      <c r="J81" s="20" t="s">
        <v>349</v>
      </c>
      <c r="K81" s="18" t="n">
        <v>0.5922764</v>
      </c>
      <c r="L81" s="20" t="n">
        <v>0.40719218</v>
      </c>
      <c r="M81" s="18" t="n">
        <v>0</v>
      </c>
      <c r="N81" s="20" t="n">
        <v>0</v>
      </c>
      <c r="O81" s="18" t="n">
        <v>0</v>
      </c>
      <c r="P81" s="20" t="n">
        <v>0</v>
      </c>
      <c r="Q81" s="18" t="n">
        <v>4.89674009</v>
      </c>
      <c r="R81" s="20" t="n">
        <v>1.24331332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454</v>
      </c>
    </row>
    <row customHeight="1" ht="30" r="4" spans="1:24">
      <c r="A4" s="6" t="n"/>
      <c r="B4" s="7" t="s">
        <v>333</v>
      </c>
      <c r="C4" s="7" t="s">
        <v>334</v>
      </c>
      <c r="D4" s="8" t="s">
        <v>333</v>
      </c>
      <c r="E4" s="9" t="s">
        <v>455</v>
      </c>
      <c r="F4" s="10" t="n"/>
      <c r="G4" s="9" t="s">
        <v>456</v>
      </c>
      <c r="H4" s="10" t="n"/>
      <c r="I4" s="9" t="s">
        <v>441</v>
      </c>
      <c r="J4" s="10" t="n"/>
      <c r="K4" s="9" t="s">
        <v>442</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7367</v>
      </c>
      <c r="C7" s="18">
        <f>(6472.0/B7*100)</f>
        <v/>
      </c>
      <c r="D7" s="19" t="n">
        <v>895</v>
      </c>
      <c r="E7" s="18" t="n">
        <v>48.34808127</v>
      </c>
      <c r="F7" s="20" t="n">
        <v>2.04691087</v>
      </c>
      <c r="G7" s="18" t="n">
        <v>20.24319284</v>
      </c>
      <c r="H7" s="20" t="n">
        <v>1.40866536</v>
      </c>
      <c r="I7" s="18" t="n">
        <v>1.04047794</v>
      </c>
      <c r="J7" s="20" t="n">
        <v>0.42155332</v>
      </c>
      <c r="K7" s="18" t="n">
        <v>3.91409352</v>
      </c>
      <c r="L7" s="20" t="n">
        <v>0.7872452</v>
      </c>
      <c r="M7" s="18" t="n">
        <v>2.39208107</v>
      </c>
      <c r="N7" s="20" t="n">
        <v>0.68581383</v>
      </c>
      <c r="O7" s="18" t="s">
        <v>349</v>
      </c>
      <c r="P7" s="20" t="s">
        <v>349</v>
      </c>
      <c r="Q7" s="18" t="n">
        <v>2.94219884</v>
      </c>
      <c r="R7" s="20" t="n">
        <v>0.70327681</v>
      </c>
      <c r="S7" s="18" t="n">
        <v>0.01390574</v>
      </c>
      <c r="T7" s="20" t="n">
        <v>0.01399326</v>
      </c>
      <c r="U7" s="18" t="n">
        <v>0</v>
      </c>
      <c r="V7" s="20" t="n">
        <v>0</v>
      </c>
      <c r="W7" s="18" t="n">
        <v>21.10596878</v>
      </c>
      <c r="X7" s="20" t="n">
        <v>1.63616942</v>
      </c>
    </row>
    <row r="8" spans="1:24">
      <c r="A8" s="15" t="s">
        <v>350</v>
      </c>
      <c r="B8" s="17" t="n">
        <v>3564</v>
      </c>
      <c r="C8" s="18">
        <f>(3139.0/B8*100)</f>
        <v/>
      </c>
      <c r="D8" s="19" t="n">
        <v>425</v>
      </c>
      <c r="E8" s="18" t="n">
        <v>37.23512582</v>
      </c>
      <c r="F8" s="20" t="n">
        <v>2.55253503</v>
      </c>
      <c r="G8" s="18" t="n">
        <v>24.36801053</v>
      </c>
      <c r="H8" s="20" t="n">
        <v>2.55120975</v>
      </c>
      <c r="I8" s="18" t="n">
        <v>0.92197582</v>
      </c>
      <c r="J8" s="20" t="n">
        <v>0.51697136</v>
      </c>
      <c r="K8" s="18" t="n">
        <v>7.6460567</v>
      </c>
      <c r="L8" s="20" t="n">
        <v>1.11445359</v>
      </c>
      <c r="M8" s="18" t="n">
        <v>4.7764244</v>
      </c>
      <c r="N8" s="20" t="n">
        <v>1.16734745</v>
      </c>
      <c r="O8" s="18" t="s">
        <v>349</v>
      </c>
      <c r="P8" s="20" t="s">
        <v>349</v>
      </c>
      <c r="Q8" s="18" t="n">
        <v>0.93694944</v>
      </c>
      <c r="R8" s="20" t="n">
        <v>0.44304619</v>
      </c>
      <c r="S8" s="18" t="n">
        <v>0</v>
      </c>
      <c r="T8" s="20" t="n">
        <v>0</v>
      </c>
      <c r="U8" s="18" t="n">
        <v>0</v>
      </c>
      <c r="V8" s="20" t="n">
        <v>0</v>
      </c>
      <c r="W8" s="18" t="n">
        <v>24.11545729</v>
      </c>
      <c r="X8" s="20" t="n">
        <v>2.21379228</v>
      </c>
    </row>
    <row r="9" spans="1:24">
      <c r="A9" s="15" t="s">
        <v>351</v>
      </c>
      <c r="B9" s="17" t="n">
        <v>4899</v>
      </c>
      <c r="C9" s="18">
        <f>(4346.0/B9*100)</f>
        <v/>
      </c>
      <c r="D9" s="19" t="n">
        <v>553</v>
      </c>
      <c r="E9" s="18" t="n">
        <v>37.65370529</v>
      </c>
      <c r="F9" s="20" t="n">
        <v>2.2317513</v>
      </c>
      <c r="G9" s="18" t="n">
        <v>17.65557185</v>
      </c>
      <c r="H9" s="20" t="n">
        <v>1.77601242</v>
      </c>
      <c r="I9" s="18" t="n">
        <v>3.05184384</v>
      </c>
      <c r="J9" s="20" t="n">
        <v>0.65542234</v>
      </c>
      <c r="K9" s="18" t="n">
        <v>11.26034608</v>
      </c>
      <c r="L9" s="20" t="n">
        <v>1.49752288</v>
      </c>
      <c r="M9" s="18" t="n">
        <v>6.94692955</v>
      </c>
      <c r="N9" s="20" t="n">
        <v>1.16902817</v>
      </c>
      <c r="O9" s="18" t="s">
        <v>349</v>
      </c>
      <c r="P9" s="20" t="s">
        <v>349</v>
      </c>
      <c r="Q9" s="18" t="n">
        <v>1.17006618</v>
      </c>
      <c r="R9" s="20" t="n">
        <v>0.40478008</v>
      </c>
      <c r="S9" s="18" t="n">
        <v>0.59544578</v>
      </c>
      <c r="T9" s="20" t="n">
        <v>0.30340861</v>
      </c>
      <c r="U9" s="18" t="n">
        <v>0</v>
      </c>
      <c r="V9" s="20" t="n">
        <v>0</v>
      </c>
      <c r="W9" s="18" t="n">
        <v>21.66609142</v>
      </c>
      <c r="X9" s="20" t="n">
        <v>2.19084906</v>
      </c>
    </row>
    <row r="10" spans="1:24">
      <c r="A10" s="15" t="s">
        <v>352</v>
      </c>
      <c r="B10" s="17" t="n">
        <v>10036</v>
      </c>
      <c r="C10" s="18">
        <f>(8821.0/B10*100)</f>
        <v/>
      </c>
      <c r="D10" s="19" t="n">
        <v>1215</v>
      </c>
      <c r="E10" s="18" t="n">
        <v>49.46406722</v>
      </c>
      <c r="F10" s="20" t="n">
        <v>1.76628119</v>
      </c>
      <c r="G10" s="18" t="n">
        <v>21.42942389</v>
      </c>
      <c r="H10" s="20" t="n">
        <v>1.48615571</v>
      </c>
      <c r="I10" s="18" t="n">
        <v>1.02817766</v>
      </c>
      <c r="J10" s="20" t="n">
        <v>0.3702602</v>
      </c>
      <c r="K10" s="18" t="n">
        <v>4.96627892</v>
      </c>
      <c r="L10" s="20" t="n">
        <v>0.77206748</v>
      </c>
      <c r="M10" s="18" t="n">
        <v>3.26812288</v>
      </c>
      <c r="N10" s="20" t="n">
        <v>0.60473191</v>
      </c>
      <c r="O10" s="18" t="s">
        <v>349</v>
      </c>
      <c r="P10" s="20" t="s">
        <v>349</v>
      </c>
      <c r="Q10" s="18" t="n">
        <v>2.08029841</v>
      </c>
      <c r="R10" s="20" t="n">
        <v>0.61657611</v>
      </c>
      <c r="S10" s="18" t="n">
        <v>0.54480635</v>
      </c>
      <c r="T10" s="20" t="n">
        <v>0.10238735</v>
      </c>
      <c r="U10" s="18" t="n">
        <v>0</v>
      </c>
      <c r="V10" s="20" t="n">
        <v>0</v>
      </c>
      <c r="W10" s="18" t="n">
        <v>17.21882467</v>
      </c>
      <c r="X10" s="20" t="n">
        <v>1.47485049</v>
      </c>
    </row>
    <row r="11" spans="1:24">
      <c r="A11" s="15" t="s">
        <v>353</v>
      </c>
      <c r="B11" s="17" t="n">
        <v>3553</v>
      </c>
      <c r="C11" s="18">
        <f>(3138.0/B11*100)</f>
        <v/>
      </c>
      <c r="D11" s="19" t="n">
        <v>415</v>
      </c>
      <c r="E11" s="18" t="n">
        <v>35.09217408</v>
      </c>
      <c r="F11" s="20" t="n">
        <v>2.94801446</v>
      </c>
      <c r="G11" s="18" t="n">
        <v>16.14838603</v>
      </c>
      <c r="H11" s="20" t="n">
        <v>1.88083274</v>
      </c>
      <c r="I11" s="18" t="n">
        <v>0.08002075</v>
      </c>
      <c r="J11" s="20" t="n">
        <v>0.09064714</v>
      </c>
      <c r="K11" s="18" t="n">
        <v>1.70400554</v>
      </c>
      <c r="L11" s="20" t="n">
        <v>0.55334079</v>
      </c>
      <c r="M11" s="18" t="n">
        <v>0.20134772</v>
      </c>
      <c r="N11" s="20" t="n">
        <v>0.11661975</v>
      </c>
      <c r="O11" s="18" t="s">
        <v>349</v>
      </c>
      <c r="P11" s="20" t="s">
        <v>349</v>
      </c>
      <c r="Q11" s="18" t="n">
        <v>8.457519509999999</v>
      </c>
      <c r="R11" s="20" t="n">
        <v>1.66623484</v>
      </c>
      <c r="S11" s="18" t="n">
        <v>0</v>
      </c>
      <c r="T11" s="20" t="n">
        <v>0</v>
      </c>
      <c r="U11" s="18" t="n">
        <v>0</v>
      </c>
      <c r="V11" s="20" t="n">
        <v>0</v>
      </c>
      <c r="W11" s="18" t="n">
        <v>38.31654636</v>
      </c>
      <c r="X11" s="20" t="n">
        <v>2.66935655</v>
      </c>
    </row>
    <row r="12" spans="1:24">
      <c r="A12" s="15" t="s">
        <v>354</v>
      </c>
      <c r="B12" s="17" t="n">
        <v>3472</v>
      </c>
      <c r="C12" s="18">
        <f>(3076.0/B12*100)</f>
        <v/>
      </c>
      <c r="D12" s="19" t="n">
        <v>396</v>
      </c>
      <c r="E12" s="18" t="n">
        <v>41.9174811</v>
      </c>
      <c r="F12" s="20" t="n">
        <v>2.97853091</v>
      </c>
      <c r="G12" s="18" t="n">
        <v>11.30707908</v>
      </c>
      <c r="H12" s="20" t="n">
        <v>2.19117466</v>
      </c>
      <c r="I12" s="18" t="n">
        <v>3.94007348</v>
      </c>
      <c r="J12" s="20" t="n">
        <v>1.47898913</v>
      </c>
      <c r="K12" s="18" t="n">
        <v>14.95861595</v>
      </c>
      <c r="L12" s="20" t="n">
        <v>2.02313479</v>
      </c>
      <c r="M12" s="18" t="n">
        <v>6.47583911</v>
      </c>
      <c r="N12" s="20" t="n">
        <v>1.05421572</v>
      </c>
      <c r="O12" s="18" t="s">
        <v>349</v>
      </c>
      <c r="P12" s="20" t="s">
        <v>349</v>
      </c>
      <c r="Q12" s="18" t="n">
        <v>2.64333218</v>
      </c>
      <c r="R12" s="20" t="n">
        <v>0.86400392</v>
      </c>
      <c r="S12" s="18" t="n">
        <v>0.65421875</v>
      </c>
      <c r="T12" s="20" t="n">
        <v>0.5360951</v>
      </c>
      <c r="U12" s="18" t="n">
        <v>0</v>
      </c>
      <c r="V12" s="20" t="n">
        <v>0</v>
      </c>
      <c r="W12" s="18" t="n">
        <v>18.10336036</v>
      </c>
      <c r="X12" s="20" t="n">
        <v>2.00102092</v>
      </c>
    </row>
    <row r="13" spans="1:24">
      <c r="A13" s="15" t="s">
        <v>355</v>
      </c>
      <c r="B13" s="17" t="n">
        <v>3559</v>
      </c>
      <c r="C13" s="18">
        <f>(3140.0/B13*100)</f>
        <v/>
      </c>
      <c r="D13" s="19" t="n">
        <v>419</v>
      </c>
      <c r="E13" s="18" t="n">
        <v>40.61706326</v>
      </c>
      <c r="F13" s="20" t="n">
        <v>2.74254757</v>
      </c>
      <c r="G13" s="18" t="n">
        <v>24.88048292</v>
      </c>
      <c r="H13" s="20" t="n">
        <v>2.43648281</v>
      </c>
      <c r="I13" s="18" t="n">
        <v>1.67042502</v>
      </c>
      <c r="J13" s="20" t="n">
        <v>0.6748387</v>
      </c>
      <c r="K13" s="18" t="n">
        <v>6.12241288</v>
      </c>
      <c r="L13" s="20" t="n">
        <v>1.4691236</v>
      </c>
      <c r="M13" s="18" t="n">
        <v>1.578515</v>
      </c>
      <c r="N13" s="20" t="n">
        <v>0.6636566699999999</v>
      </c>
      <c r="O13" s="18" t="s">
        <v>349</v>
      </c>
      <c r="P13" s="20" t="s">
        <v>349</v>
      </c>
      <c r="Q13" s="18" t="n">
        <v>2.9458497</v>
      </c>
      <c r="R13" s="20" t="n">
        <v>0.98432362</v>
      </c>
      <c r="S13" s="18" t="n">
        <v>0.42006962</v>
      </c>
      <c r="T13" s="20" t="n">
        <v>0.4283777</v>
      </c>
      <c r="U13" s="18" t="n">
        <v>0</v>
      </c>
      <c r="V13" s="20" t="n">
        <v>0</v>
      </c>
      <c r="W13" s="18" t="n">
        <v>21.7651816</v>
      </c>
      <c r="X13" s="20" t="n">
        <v>2.09064557</v>
      </c>
    </row>
    <row r="14" spans="1:24">
      <c r="A14" s="15" t="s">
        <v>356</v>
      </c>
      <c r="B14" s="17" t="n">
        <v>2799</v>
      </c>
      <c r="C14" s="18">
        <f>(2457.0/B14*100)</f>
        <v/>
      </c>
      <c r="D14" s="19" t="n">
        <v>342</v>
      </c>
      <c r="E14" s="18" t="n">
        <v>43.7086395</v>
      </c>
      <c r="F14" s="20" t="n">
        <v>2.93294139</v>
      </c>
      <c r="G14" s="18" t="n">
        <v>13.75421753</v>
      </c>
      <c r="H14" s="20" t="n">
        <v>2.00553358</v>
      </c>
      <c r="I14" s="18" t="n">
        <v>4.80977566</v>
      </c>
      <c r="J14" s="20" t="n">
        <v>1.2446258</v>
      </c>
      <c r="K14" s="18" t="n">
        <v>11.84123663</v>
      </c>
      <c r="L14" s="20" t="n">
        <v>1.8425603</v>
      </c>
      <c r="M14" s="18" t="n">
        <v>5.09743858</v>
      </c>
      <c r="N14" s="20" t="n">
        <v>1.21844088</v>
      </c>
      <c r="O14" s="18" t="s">
        <v>349</v>
      </c>
      <c r="P14" s="20" t="s">
        <v>349</v>
      </c>
      <c r="Q14" s="18" t="n">
        <v>1.21170254</v>
      </c>
      <c r="R14" s="20" t="n">
        <v>0.54160189</v>
      </c>
      <c r="S14" s="18" t="n">
        <v>0.22018713</v>
      </c>
      <c r="T14" s="20" t="n">
        <v>0.2229833</v>
      </c>
      <c r="U14" s="18" t="n">
        <v>0</v>
      </c>
      <c r="V14" s="20" t="n">
        <v>0</v>
      </c>
      <c r="W14" s="18" t="n">
        <v>19.35680242</v>
      </c>
      <c r="X14" s="20" t="n">
        <v>2.49017164</v>
      </c>
    </row>
    <row r="15" spans="1:24">
      <c r="A15" s="15" t="s">
        <v>357</v>
      </c>
      <c r="B15" s="17" t="n">
        <v>3019</v>
      </c>
      <c r="C15" s="18">
        <f>(2668.0/B15*100)</f>
        <v/>
      </c>
      <c r="D15" s="19" t="n">
        <v>351</v>
      </c>
      <c r="E15" s="18" t="n">
        <v>39.80914781</v>
      </c>
      <c r="F15" s="20" t="n">
        <v>2.81968222</v>
      </c>
      <c r="G15" s="18" t="n">
        <v>20.12614897</v>
      </c>
      <c r="H15" s="20" t="n">
        <v>2.25091513</v>
      </c>
      <c r="I15" s="18" t="n">
        <v>0.26196577</v>
      </c>
      <c r="J15" s="20" t="n">
        <v>0.26111086</v>
      </c>
      <c r="K15" s="18" t="n">
        <v>6.0030852</v>
      </c>
      <c r="L15" s="20" t="n">
        <v>1.3843092</v>
      </c>
      <c r="M15" s="18" t="n">
        <v>1.67940718</v>
      </c>
      <c r="N15" s="20" t="n">
        <v>0.6863773</v>
      </c>
      <c r="O15" s="18" t="s">
        <v>349</v>
      </c>
      <c r="P15" s="20" t="s">
        <v>349</v>
      </c>
      <c r="Q15" s="18" t="n">
        <v>0.80394542</v>
      </c>
      <c r="R15" s="20" t="n">
        <v>0.45743848</v>
      </c>
      <c r="S15" s="18" t="n">
        <v>0</v>
      </c>
      <c r="T15" s="20" t="n">
        <v>0</v>
      </c>
      <c r="U15" s="18" t="n">
        <v>0</v>
      </c>
      <c r="V15" s="20" t="n">
        <v>0</v>
      </c>
      <c r="W15" s="18" t="n">
        <v>31.31629965</v>
      </c>
      <c r="X15" s="20" t="n">
        <v>2.28231231</v>
      </c>
    </row>
    <row r="16" spans="1:24">
      <c r="A16" s="15" t="s">
        <v>358</v>
      </c>
      <c r="B16" s="17" t="n">
        <v>2997</v>
      </c>
      <c r="C16" s="18">
        <f>(2622.0/B16*100)</f>
        <v/>
      </c>
      <c r="D16" s="19" t="n">
        <v>375</v>
      </c>
      <c r="E16" s="18" t="n">
        <v>36.55473769</v>
      </c>
      <c r="F16" s="20" t="n">
        <v>2.22786053</v>
      </c>
      <c r="G16" s="18" t="n">
        <v>11.90303879</v>
      </c>
      <c r="H16" s="20" t="n">
        <v>1.70806413</v>
      </c>
      <c r="I16" s="18" t="n">
        <v>0</v>
      </c>
      <c r="J16" s="20" t="n">
        <v>0</v>
      </c>
      <c r="K16" s="18" t="n">
        <v>10.35677942</v>
      </c>
      <c r="L16" s="20" t="n">
        <v>1.48848621</v>
      </c>
      <c r="M16" s="18" t="n">
        <v>6.1255015</v>
      </c>
      <c r="N16" s="20" t="n">
        <v>1.02186866</v>
      </c>
      <c r="O16" s="18" t="s">
        <v>349</v>
      </c>
      <c r="P16" s="20" t="s">
        <v>349</v>
      </c>
      <c r="Q16" s="18" t="n">
        <v>5.01332913</v>
      </c>
      <c r="R16" s="20" t="n">
        <v>1.22495943</v>
      </c>
      <c r="S16" s="18" t="n">
        <v>0</v>
      </c>
      <c r="T16" s="20" t="n">
        <v>0</v>
      </c>
      <c r="U16" s="18" t="n">
        <v>0</v>
      </c>
      <c r="V16" s="20" t="n">
        <v>0</v>
      </c>
      <c r="W16" s="18" t="n">
        <v>30.04661348</v>
      </c>
      <c r="X16" s="20" t="n">
        <v>2.51995676</v>
      </c>
    </row>
    <row r="17" spans="1:24">
      <c r="A17" s="15" t="s">
        <v>359</v>
      </c>
      <c r="B17" s="17" t="n">
        <v>3307</v>
      </c>
      <c r="C17" s="18">
        <f>(2920.0/B17*100)</f>
        <v/>
      </c>
      <c r="D17" s="19" t="n">
        <v>387</v>
      </c>
      <c r="E17" s="18" t="n">
        <v>35.40263937</v>
      </c>
      <c r="F17" s="20" t="n">
        <v>2.50540684</v>
      </c>
      <c r="G17" s="18" t="n">
        <v>20.31197423</v>
      </c>
      <c r="H17" s="20" t="n">
        <v>1.86295776</v>
      </c>
      <c r="I17" s="18" t="n">
        <v>0.63041088</v>
      </c>
      <c r="J17" s="20" t="n">
        <v>0.41679761</v>
      </c>
      <c r="K17" s="18" t="n">
        <v>6.54995508</v>
      </c>
      <c r="L17" s="20" t="n">
        <v>1.39642786</v>
      </c>
      <c r="M17" s="18" t="n">
        <v>4.19031909</v>
      </c>
      <c r="N17" s="20" t="n">
        <v>0.9232548</v>
      </c>
      <c r="O17" s="18" t="s">
        <v>349</v>
      </c>
      <c r="P17" s="20" t="s">
        <v>349</v>
      </c>
      <c r="Q17" s="18" t="n">
        <v>2.70952798</v>
      </c>
      <c r="R17" s="20" t="n">
        <v>0.92238865</v>
      </c>
      <c r="S17" s="18" t="n">
        <v>0</v>
      </c>
      <c r="T17" s="20" t="n">
        <v>0</v>
      </c>
      <c r="U17" s="18" t="n">
        <v>0</v>
      </c>
      <c r="V17" s="20" t="n">
        <v>0</v>
      </c>
      <c r="W17" s="18" t="n">
        <v>30.20517336</v>
      </c>
      <c r="X17" s="20" t="n">
        <v>2.4154958</v>
      </c>
    </row>
    <row r="18" spans="1:24">
      <c r="A18" s="15" t="s">
        <v>360</v>
      </c>
      <c r="B18" s="17" t="n">
        <v>2826</v>
      </c>
      <c r="C18" s="18">
        <f>(2482.0/B18*100)</f>
        <v/>
      </c>
      <c r="D18" s="19" t="n">
        <v>344</v>
      </c>
      <c r="E18" s="18" t="n">
        <v>41.19814241</v>
      </c>
      <c r="F18" s="20" t="n">
        <v>3.18198467</v>
      </c>
      <c r="G18" s="18" t="n">
        <v>19.2915159</v>
      </c>
      <c r="H18" s="20" t="n">
        <v>2.10541595</v>
      </c>
      <c r="I18" s="18" t="n">
        <v>0.20081408</v>
      </c>
      <c r="J18" s="20" t="n">
        <v>0.20223103</v>
      </c>
      <c r="K18" s="18" t="n">
        <v>3.2134495</v>
      </c>
      <c r="L18" s="20" t="n">
        <v>0.85487463</v>
      </c>
      <c r="M18" s="18" t="n">
        <v>7.36853521</v>
      </c>
      <c r="N18" s="20" t="n">
        <v>1.33503474</v>
      </c>
      <c r="O18" s="18" t="s">
        <v>349</v>
      </c>
      <c r="P18" s="20" t="s">
        <v>349</v>
      </c>
      <c r="Q18" s="18" t="n">
        <v>3.9117015</v>
      </c>
      <c r="R18" s="20" t="n">
        <v>1.15039247</v>
      </c>
      <c r="S18" s="18" t="n">
        <v>0.24967568</v>
      </c>
      <c r="T18" s="20" t="n">
        <v>0.25176878</v>
      </c>
      <c r="U18" s="18" t="n">
        <v>0</v>
      </c>
      <c r="V18" s="20" t="n">
        <v>0</v>
      </c>
      <c r="W18" s="18" t="n">
        <v>24.56616572</v>
      </c>
      <c r="X18" s="20" t="n">
        <v>2.77317764</v>
      </c>
    </row>
    <row r="19" spans="1:24">
      <c r="A19" s="15" t="s">
        <v>361</v>
      </c>
      <c r="B19" s="17" t="n">
        <v>2808</v>
      </c>
      <c r="C19" s="18">
        <f>(2484.0/B19*100)</f>
        <v/>
      </c>
      <c r="D19" s="19" t="n">
        <v>324</v>
      </c>
      <c r="E19" s="18" t="n">
        <v>28.83995251</v>
      </c>
      <c r="F19" s="20" t="n">
        <v>2.53104039</v>
      </c>
      <c r="G19" s="18" t="n">
        <v>25.80527833</v>
      </c>
      <c r="H19" s="20" t="n">
        <v>2.67699083</v>
      </c>
      <c r="I19" s="18" t="n">
        <v>2.58692537</v>
      </c>
      <c r="J19" s="20" t="n">
        <v>0.81186285</v>
      </c>
      <c r="K19" s="18" t="n">
        <v>7.65352772</v>
      </c>
      <c r="L19" s="20" t="n">
        <v>1.56833849</v>
      </c>
      <c r="M19" s="18" t="n">
        <v>4.0182726</v>
      </c>
      <c r="N19" s="20" t="n">
        <v>1.23824478</v>
      </c>
      <c r="O19" s="18" t="s">
        <v>349</v>
      </c>
      <c r="P19" s="20" t="s">
        <v>349</v>
      </c>
      <c r="Q19" s="18" t="n">
        <v>3.67402541</v>
      </c>
      <c r="R19" s="20" t="n">
        <v>1.35732644</v>
      </c>
      <c r="S19" s="18" t="n">
        <v>0.3104141</v>
      </c>
      <c r="T19" s="20" t="n">
        <v>0.22044635</v>
      </c>
      <c r="U19" s="18" t="n">
        <v>0</v>
      </c>
      <c r="V19" s="20" t="n">
        <v>0</v>
      </c>
      <c r="W19" s="18" t="n">
        <v>27.11160396</v>
      </c>
      <c r="X19" s="20" t="n">
        <v>2.87647539</v>
      </c>
    </row>
    <row r="20" spans="1:24">
      <c r="A20" s="15" t="s">
        <v>362</v>
      </c>
      <c r="B20" s="17" t="n">
        <v>1630</v>
      </c>
      <c r="C20" s="18">
        <f>(1429.0/B20*100)</f>
        <v/>
      </c>
      <c r="D20" s="19" t="n">
        <v>201</v>
      </c>
      <c r="E20" s="18" t="n">
        <v>55.6977713</v>
      </c>
      <c r="F20" s="20" t="n">
        <v>3.35218331</v>
      </c>
      <c r="G20" s="18" t="n">
        <v>16.64733296</v>
      </c>
      <c r="H20" s="20" t="n">
        <v>2.81958821</v>
      </c>
      <c r="I20" s="18" t="n">
        <v>2.48405216</v>
      </c>
      <c r="J20" s="20" t="n">
        <v>1.05775148</v>
      </c>
      <c r="K20" s="18" t="n">
        <v>6.49285407</v>
      </c>
      <c r="L20" s="20" t="n">
        <v>1.58077527</v>
      </c>
      <c r="M20" s="18" t="n">
        <v>3.15795441</v>
      </c>
      <c r="N20" s="20" t="n">
        <v>1.19011043</v>
      </c>
      <c r="O20" s="18" t="s">
        <v>349</v>
      </c>
      <c r="P20" s="20" t="s">
        <v>349</v>
      </c>
      <c r="Q20" s="18" t="n">
        <v>2.46850686</v>
      </c>
      <c r="R20" s="20" t="n">
        <v>1.24438621</v>
      </c>
      <c r="S20" s="18" t="n">
        <v>0</v>
      </c>
      <c r="T20" s="20" t="n">
        <v>0</v>
      </c>
      <c r="U20" s="18" t="n">
        <v>0</v>
      </c>
      <c r="V20" s="20" t="n">
        <v>0</v>
      </c>
      <c r="W20" s="18" t="n">
        <v>13.05152824</v>
      </c>
      <c r="X20" s="20" t="n">
        <v>2.32901365</v>
      </c>
    </row>
    <row r="21" spans="1:24">
      <c r="A21" s="15" t="s">
        <v>363</v>
      </c>
      <c r="B21" s="17" t="n">
        <v>2908</v>
      </c>
      <c r="C21" s="18">
        <f>(2440.0/B21*100)</f>
        <v/>
      </c>
      <c r="D21" s="19" t="n">
        <v>468</v>
      </c>
      <c r="E21" s="18" t="n">
        <v>40.0772736</v>
      </c>
      <c r="F21" s="20" t="n">
        <v>2.08297436</v>
      </c>
      <c r="G21" s="18" t="n">
        <v>12.55631201</v>
      </c>
      <c r="H21" s="20" t="n">
        <v>1.63066486</v>
      </c>
      <c r="I21" s="18" t="n">
        <v>0.52246891</v>
      </c>
      <c r="J21" s="20" t="n">
        <v>0.17890241</v>
      </c>
      <c r="K21" s="18" t="n">
        <v>18.14780151</v>
      </c>
      <c r="L21" s="20" t="n">
        <v>1.82070702</v>
      </c>
      <c r="M21" s="18" t="n">
        <v>1.67329251</v>
      </c>
      <c r="N21" s="20" t="n">
        <v>0.7879901</v>
      </c>
      <c r="O21" s="18" t="s">
        <v>349</v>
      </c>
      <c r="P21" s="20" t="s">
        <v>349</v>
      </c>
      <c r="Q21" s="18" t="n">
        <v>2.0435757</v>
      </c>
      <c r="R21" s="20" t="n">
        <v>0.7016369099999999</v>
      </c>
      <c r="S21" s="18" t="n">
        <v>0</v>
      </c>
      <c r="T21" s="20" t="n">
        <v>0</v>
      </c>
      <c r="U21" s="18" t="n">
        <v>0</v>
      </c>
      <c r="V21" s="20" t="n">
        <v>0</v>
      </c>
      <c r="W21" s="18" t="n">
        <v>24.97927575</v>
      </c>
      <c r="X21" s="20" t="n">
        <v>2.02588895</v>
      </c>
    </row>
    <row r="22" spans="1:24">
      <c r="A22" s="15" t="s">
        <v>364</v>
      </c>
      <c r="B22" s="17" t="n">
        <v>2931</v>
      </c>
      <c r="C22" s="18">
        <f>(2587.0/B22*100)</f>
        <v/>
      </c>
      <c r="D22" s="19" t="n">
        <v>344</v>
      </c>
      <c r="E22" s="18" t="n">
        <v>31.07061133</v>
      </c>
      <c r="F22" s="20" t="n">
        <v>2.62518037</v>
      </c>
      <c r="G22" s="18" t="n">
        <v>24.37121679</v>
      </c>
      <c r="H22" s="20" t="n">
        <v>2.66136599</v>
      </c>
      <c r="I22" s="18" t="n">
        <v>1.41930531</v>
      </c>
      <c r="J22" s="20" t="n">
        <v>0.55449665</v>
      </c>
      <c r="K22" s="18" t="n">
        <v>9.87615022</v>
      </c>
      <c r="L22" s="20" t="n">
        <v>1.93665181</v>
      </c>
      <c r="M22" s="18" t="n">
        <v>5.27143458</v>
      </c>
      <c r="N22" s="20" t="n">
        <v>1.6126746</v>
      </c>
      <c r="O22" s="18" t="s">
        <v>349</v>
      </c>
      <c r="P22" s="20" t="s">
        <v>349</v>
      </c>
      <c r="Q22" s="18" t="n">
        <v>4.37636785</v>
      </c>
      <c r="R22" s="20" t="n">
        <v>1.00910569</v>
      </c>
      <c r="S22" s="18" t="n">
        <v>0</v>
      </c>
      <c r="T22" s="20" t="n">
        <v>0</v>
      </c>
      <c r="U22" s="18" t="n">
        <v>0</v>
      </c>
      <c r="V22" s="20" t="n">
        <v>0</v>
      </c>
      <c r="W22" s="18" t="n">
        <v>23.6149139</v>
      </c>
      <c r="X22" s="20" t="n">
        <v>2.52324642</v>
      </c>
    </row>
    <row r="23" spans="1:24">
      <c r="A23" s="15" t="s">
        <v>365</v>
      </c>
      <c r="B23" s="17" t="n">
        <v>5791</v>
      </c>
      <c r="C23" s="18">
        <f>(5112.0/B23*100)</f>
        <v/>
      </c>
      <c r="D23" s="19" t="n">
        <v>679</v>
      </c>
      <c r="E23" s="18" t="n">
        <v>32.41773293</v>
      </c>
      <c r="F23" s="20" t="n">
        <v>2.53019707</v>
      </c>
      <c r="G23" s="18" t="n">
        <v>13.67996847</v>
      </c>
      <c r="H23" s="20" t="n">
        <v>1.94570647</v>
      </c>
      <c r="I23" s="18" t="n">
        <v>1.59141649</v>
      </c>
      <c r="J23" s="20" t="n">
        <v>0.5317311</v>
      </c>
      <c r="K23" s="18" t="n">
        <v>11.36394801</v>
      </c>
      <c r="L23" s="20" t="n">
        <v>1.81865019</v>
      </c>
      <c r="M23" s="18" t="n">
        <v>10.21871627</v>
      </c>
      <c r="N23" s="20" t="n">
        <v>1.69728373</v>
      </c>
      <c r="O23" s="18" t="s">
        <v>349</v>
      </c>
      <c r="P23" s="20" t="s">
        <v>349</v>
      </c>
      <c r="Q23" s="18" t="n">
        <v>2.75579039</v>
      </c>
      <c r="R23" s="20" t="n">
        <v>1.25413169</v>
      </c>
      <c r="S23" s="18" t="n">
        <v>0</v>
      </c>
      <c r="T23" s="20" t="n">
        <v>0</v>
      </c>
      <c r="U23" s="18" t="n">
        <v>0</v>
      </c>
      <c r="V23" s="20" t="n">
        <v>0</v>
      </c>
      <c r="W23" s="18" t="n">
        <v>27.97242744</v>
      </c>
      <c r="X23" s="20" t="n">
        <v>2.69062914</v>
      </c>
    </row>
    <row r="24" spans="1:24">
      <c r="A24" s="15" t="s">
        <v>366</v>
      </c>
      <c r="B24" s="17" t="n">
        <v>3338</v>
      </c>
      <c r="C24" s="18">
        <f>(2936.0/B24*100)</f>
        <v/>
      </c>
      <c r="D24" s="19" t="n">
        <v>402</v>
      </c>
      <c r="E24" s="18" t="n">
        <v>24.63351123</v>
      </c>
      <c r="F24" s="20" t="n">
        <v>2.44143658</v>
      </c>
      <c r="G24" s="18" t="n">
        <v>13.91011859</v>
      </c>
      <c r="H24" s="20" t="n">
        <v>1.88629545</v>
      </c>
      <c r="I24" s="18" t="n">
        <v>0.7358067</v>
      </c>
      <c r="J24" s="20" t="n">
        <v>0.42898236</v>
      </c>
      <c r="K24" s="18" t="n">
        <v>10.4843085</v>
      </c>
      <c r="L24" s="20" t="n">
        <v>1.70150956</v>
      </c>
      <c r="M24" s="18" t="n">
        <v>8.8943838</v>
      </c>
      <c r="N24" s="20" t="n">
        <v>2.01465555</v>
      </c>
      <c r="O24" s="18" t="s">
        <v>349</v>
      </c>
      <c r="P24" s="20" t="s">
        <v>349</v>
      </c>
      <c r="Q24" s="18" t="n">
        <v>2.37876558</v>
      </c>
      <c r="R24" s="20" t="n">
        <v>0.63124437</v>
      </c>
      <c r="S24" s="18" t="n">
        <v>0</v>
      </c>
      <c r="T24" s="20" t="n">
        <v>0</v>
      </c>
      <c r="U24" s="18" t="n">
        <v>0</v>
      </c>
      <c r="V24" s="20" t="n">
        <v>0</v>
      </c>
      <c r="W24" s="18" t="n">
        <v>38.9631056</v>
      </c>
      <c r="X24" s="20" t="n">
        <v>2.49197971</v>
      </c>
    </row>
    <row r="25" spans="1:24">
      <c r="A25" s="15" t="s">
        <v>367</v>
      </c>
      <c r="B25" s="17" t="n">
        <v>2912</v>
      </c>
      <c r="C25" s="18">
        <f>(2547.0/B25*100)</f>
        <v/>
      </c>
      <c r="D25" s="19" t="n">
        <v>365</v>
      </c>
      <c r="E25" s="18" t="n">
        <v>21.21073613</v>
      </c>
      <c r="F25" s="20" t="n">
        <v>2.20268381</v>
      </c>
      <c r="G25" s="18" t="n">
        <v>21.36393313</v>
      </c>
      <c r="H25" s="20" t="n">
        <v>2.04303807</v>
      </c>
      <c r="I25" s="18" t="n">
        <v>4.03497278</v>
      </c>
      <c r="J25" s="20" t="n">
        <v>1.19440768</v>
      </c>
      <c r="K25" s="18" t="n">
        <v>11.01126039</v>
      </c>
      <c r="L25" s="20" t="n">
        <v>1.79914849</v>
      </c>
      <c r="M25" s="18" t="n">
        <v>23.29691462</v>
      </c>
      <c r="N25" s="20" t="n">
        <v>2.42756657</v>
      </c>
      <c r="O25" s="18" t="s">
        <v>349</v>
      </c>
      <c r="P25" s="20" t="s">
        <v>349</v>
      </c>
      <c r="Q25" s="18" t="n">
        <v>3.31642785</v>
      </c>
      <c r="R25" s="20" t="n">
        <v>0.93817417</v>
      </c>
      <c r="S25" s="18" t="n">
        <v>0</v>
      </c>
      <c r="T25" s="20" t="n">
        <v>0</v>
      </c>
      <c r="U25" s="18" t="n">
        <v>0</v>
      </c>
      <c r="V25" s="20" t="n">
        <v>0</v>
      </c>
      <c r="W25" s="18" t="n">
        <v>15.76575511</v>
      </c>
      <c r="X25" s="20" t="n">
        <v>2.14346139</v>
      </c>
    </row>
    <row r="26" spans="1:24">
      <c r="A26" s="15" t="s">
        <v>368</v>
      </c>
      <c r="B26" s="17" t="n">
        <v>2450</v>
      </c>
      <c r="C26" s="18">
        <f>(2166.0/B26*100)</f>
        <v/>
      </c>
      <c r="D26" s="19" t="n">
        <v>284</v>
      </c>
      <c r="E26" s="18" t="n">
        <v>41.56546698</v>
      </c>
      <c r="F26" s="20" t="n">
        <v>3.19768266</v>
      </c>
      <c r="G26" s="18" t="n">
        <v>25.22450276</v>
      </c>
      <c r="H26" s="20" t="n">
        <v>2.7009347</v>
      </c>
      <c r="I26" s="18" t="n">
        <v>5.37057795</v>
      </c>
      <c r="J26" s="20" t="n">
        <v>1.55319788</v>
      </c>
      <c r="K26" s="18" t="n">
        <v>11.72583389</v>
      </c>
      <c r="L26" s="20" t="n">
        <v>2.05095021</v>
      </c>
      <c r="M26" s="18" t="n">
        <v>2.61808047</v>
      </c>
      <c r="N26" s="20" t="n">
        <v>1.08766</v>
      </c>
      <c r="O26" s="18" t="s">
        <v>349</v>
      </c>
      <c r="P26" s="20" t="s">
        <v>349</v>
      </c>
      <c r="Q26" s="18" t="n">
        <v>0.90791138</v>
      </c>
      <c r="R26" s="20" t="n">
        <v>0.51063052</v>
      </c>
      <c r="S26" s="18" t="n">
        <v>0</v>
      </c>
      <c r="T26" s="20" t="n">
        <v>0</v>
      </c>
      <c r="U26" s="18" t="n">
        <v>0</v>
      </c>
      <c r="V26" s="20" t="n">
        <v>0</v>
      </c>
      <c r="W26" s="18" t="n">
        <v>12.58762657</v>
      </c>
      <c r="X26" s="20" t="n">
        <v>1.99865572</v>
      </c>
    </row>
    <row r="27" spans="1:24">
      <c r="A27" s="15" t="s">
        <v>369</v>
      </c>
      <c r="B27" s="17" t="n">
        <v>2616</v>
      </c>
      <c r="C27" s="18">
        <f>(2309.0/B27*100)</f>
        <v/>
      </c>
      <c r="D27" s="19" t="n">
        <v>307</v>
      </c>
      <c r="E27" s="18" t="n">
        <v>42.16200044</v>
      </c>
      <c r="F27" s="20" t="n">
        <v>3.24195981</v>
      </c>
      <c r="G27" s="18" t="n">
        <v>15.14877997</v>
      </c>
      <c r="H27" s="20" t="n">
        <v>2.28664426</v>
      </c>
      <c r="I27" s="18" t="n">
        <v>1.28318634</v>
      </c>
      <c r="J27" s="20" t="n">
        <v>0.64689829</v>
      </c>
      <c r="K27" s="18" t="n">
        <v>7.50473497</v>
      </c>
      <c r="L27" s="20" t="n">
        <v>1.78952634</v>
      </c>
      <c r="M27" s="18" t="n">
        <v>4.85474409</v>
      </c>
      <c r="N27" s="20" t="n">
        <v>1.18628765</v>
      </c>
      <c r="O27" s="18" t="s">
        <v>349</v>
      </c>
      <c r="P27" s="20" t="s">
        <v>349</v>
      </c>
      <c r="Q27" s="18" t="n">
        <v>3.27488733</v>
      </c>
      <c r="R27" s="20" t="n">
        <v>1.00435366</v>
      </c>
      <c r="S27" s="18" t="n">
        <v>0</v>
      </c>
      <c r="T27" s="20" t="n">
        <v>0</v>
      </c>
      <c r="U27" s="18" t="n">
        <v>0</v>
      </c>
      <c r="V27" s="20" t="n">
        <v>0</v>
      </c>
      <c r="W27" s="18" t="n">
        <v>25.77166687</v>
      </c>
      <c r="X27" s="20" t="n">
        <v>2.7573213</v>
      </c>
    </row>
    <row r="28" spans="1:24">
      <c r="A28" s="15" t="s">
        <v>370</v>
      </c>
      <c r="B28" s="17" t="n">
        <v>3765</v>
      </c>
      <c r="C28" s="18">
        <f>(3371.0/B28*100)</f>
        <v/>
      </c>
      <c r="D28" s="19" t="n">
        <v>394</v>
      </c>
      <c r="E28" s="18" t="n">
        <v>34.07358237</v>
      </c>
      <c r="F28" s="20" t="n">
        <v>2.70596385</v>
      </c>
      <c r="G28" s="18" t="n">
        <v>40.26026113</v>
      </c>
      <c r="H28" s="20" t="n">
        <v>2.50601721</v>
      </c>
      <c r="I28" s="18" t="n">
        <v>0</v>
      </c>
      <c r="J28" s="20" t="n">
        <v>0</v>
      </c>
      <c r="K28" s="18" t="n">
        <v>1.10131291</v>
      </c>
      <c r="L28" s="20" t="n">
        <v>0.6514202100000001</v>
      </c>
      <c r="M28" s="18" t="n">
        <v>0.15273267</v>
      </c>
      <c r="N28" s="20" t="n">
        <v>0.15282794</v>
      </c>
      <c r="O28" s="18" t="s">
        <v>349</v>
      </c>
      <c r="P28" s="20" t="s">
        <v>349</v>
      </c>
      <c r="Q28" s="18" t="n">
        <v>0.97306039</v>
      </c>
      <c r="R28" s="20" t="n">
        <v>0.41268789</v>
      </c>
      <c r="S28" s="18" t="n">
        <v>0.83822851</v>
      </c>
      <c r="T28" s="20" t="n">
        <v>0.49935351</v>
      </c>
      <c r="U28" s="18" t="n">
        <v>0</v>
      </c>
      <c r="V28" s="20" t="n">
        <v>0</v>
      </c>
      <c r="W28" s="18" t="n">
        <v>22.60082201</v>
      </c>
      <c r="X28" s="20" t="n">
        <v>2.56481908</v>
      </c>
    </row>
    <row r="29" spans="1:24">
      <c r="A29" s="15" t="s">
        <v>371</v>
      </c>
      <c r="B29" s="17" t="n">
        <v>2685</v>
      </c>
      <c r="C29" s="18">
        <f>(2355.0/B29*100)</f>
        <v/>
      </c>
      <c r="D29" s="19" t="n">
        <v>330</v>
      </c>
      <c r="E29" s="18" t="n">
        <v>56.10367939</v>
      </c>
      <c r="F29" s="20" t="n">
        <v>2.45033845</v>
      </c>
      <c r="G29" s="18" t="n">
        <v>20.12284776</v>
      </c>
      <c r="H29" s="20" t="n">
        <v>2.29939161</v>
      </c>
      <c r="I29" s="18" t="n">
        <v>0.39215038</v>
      </c>
      <c r="J29" s="20" t="n">
        <v>0.41356237</v>
      </c>
      <c r="K29" s="18" t="n">
        <v>7.33238633</v>
      </c>
      <c r="L29" s="20" t="n">
        <v>1.50112724</v>
      </c>
      <c r="M29" s="18" t="n">
        <v>3.51842894</v>
      </c>
      <c r="N29" s="20" t="n">
        <v>0.9483258</v>
      </c>
      <c r="O29" s="18" t="s">
        <v>349</v>
      </c>
      <c r="P29" s="20" t="s">
        <v>349</v>
      </c>
      <c r="Q29" s="18" t="n">
        <v>1.40558981</v>
      </c>
      <c r="R29" s="20" t="n">
        <v>0.73127203</v>
      </c>
      <c r="S29" s="18" t="n">
        <v>0.25393013</v>
      </c>
      <c r="T29" s="20" t="n">
        <v>0.25369068</v>
      </c>
      <c r="U29" s="18" t="n">
        <v>0</v>
      </c>
      <c r="V29" s="20" t="n">
        <v>0</v>
      </c>
      <c r="W29" s="18" t="n">
        <v>10.87098726</v>
      </c>
      <c r="X29" s="20" t="n">
        <v>1.74225633</v>
      </c>
    </row>
    <row r="30" spans="1:24">
      <c r="A30" s="15" t="s">
        <v>372</v>
      </c>
      <c r="B30" s="17" t="n">
        <v>2263</v>
      </c>
      <c r="C30" s="18">
        <f>(1995.0/B30*100)</f>
        <v/>
      </c>
      <c r="D30" s="19" t="n">
        <v>268</v>
      </c>
      <c r="E30" s="18" t="n">
        <v>38.71613835</v>
      </c>
      <c r="F30" s="20" t="n">
        <v>3.15510383</v>
      </c>
      <c r="G30" s="18" t="n">
        <v>22.98872323</v>
      </c>
      <c r="H30" s="20" t="n">
        <v>2.66383685</v>
      </c>
      <c r="I30" s="18" t="n">
        <v>0</v>
      </c>
      <c r="J30" s="20" t="n">
        <v>0</v>
      </c>
      <c r="K30" s="18" t="n">
        <v>2.72870589</v>
      </c>
      <c r="L30" s="20" t="n">
        <v>0.7039260000000001</v>
      </c>
      <c r="M30" s="18" t="n">
        <v>2.60290265</v>
      </c>
      <c r="N30" s="20" t="n">
        <v>0.87953516</v>
      </c>
      <c r="O30" s="18" t="s">
        <v>349</v>
      </c>
      <c r="P30" s="20" t="s">
        <v>349</v>
      </c>
      <c r="Q30" s="18" t="n">
        <v>2.66907381</v>
      </c>
      <c r="R30" s="20" t="n">
        <v>1.00569097</v>
      </c>
      <c r="S30" s="18" t="n">
        <v>0.49711747</v>
      </c>
      <c r="T30" s="20" t="n">
        <v>0.6200612</v>
      </c>
      <c r="U30" s="18" t="n">
        <v>0</v>
      </c>
      <c r="V30" s="20" t="n">
        <v>0</v>
      </c>
      <c r="W30" s="18" t="n">
        <v>29.79733861</v>
      </c>
      <c r="X30" s="20" t="n">
        <v>3.2372671</v>
      </c>
    </row>
    <row r="31" spans="1:24">
      <c r="A31" s="15" t="s">
        <v>373</v>
      </c>
      <c r="B31" s="17" t="n">
        <v>2750</v>
      </c>
      <c r="C31" s="18">
        <f>(2398.0/B31*100)</f>
        <v/>
      </c>
      <c r="D31" s="19" t="n">
        <v>352</v>
      </c>
      <c r="E31" s="18" t="n">
        <v>46.66493081</v>
      </c>
      <c r="F31" s="20" t="n">
        <v>2.27171003</v>
      </c>
      <c r="G31" s="18" t="n">
        <v>21.32209411</v>
      </c>
      <c r="H31" s="20" t="n">
        <v>2.21394063</v>
      </c>
      <c r="I31" s="18" t="n">
        <v>0.80132215</v>
      </c>
      <c r="J31" s="20" t="n">
        <v>0.46873015</v>
      </c>
      <c r="K31" s="18" t="n">
        <v>4.53615772</v>
      </c>
      <c r="L31" s="20" t="n">
        <v>1.24873372</v>
      </c>
      <c r="M31" s="18" t="n">
        <v>2.05873777</v>
      </c>
      <c r="N31" s="20" t="n">
        <v>0.78643895</v>
      </c>
      <c r="O31" s="18" t="s">
        <v>349</v>
      </c>
      <c r="P31" s="20" t="s">
        <v>349</v>
      </c>
      <c r="Q31" s="18" t="n">
        <v>4.55301729</v>
      </c>
      <c r="R31" s="20" t="n">
        <v>1.13757788</v>
      </c>
      <c r="S31" s="18" t="n">
        <v>0</v>
      </c>
      <c r="T31" s="20" t="n">
        <v>0</v>
      </c>
      <c r="U31" s="18" t="n">
        <v>0</v>
      </c>
      <c r="V31" s="20" t="n">
        <v>0</v>
      </c>
      <c r="W31" s="18" t="n">
        <v>20.06374015</v>
      </c>
      <c r="X31" s="20" t="n">
        <v>2.32754133</v>
      </c>
    </row>
    <row r="32" spans="1:24">
      <c r="A32" s="15" t="s">
        <v>374</v>
      </c>
      <c r="B32" s="17" t="n">
        <v>2269</v>
      </c>
      <c r="C32" s="18">
        <f>(1907.0/B32*100)</f>
        <v/>
      </c>
      <c r="D32" s="19" t="n">
        <v>362</v>
      </c>
      <c r="E32" s="18" t="n">
        <v>38.59399293</v>
      </c>
      <c r="F32" s="20" t="n">
        <v>2.46961993</v>
      </c>
      <c r="G32" s="18" t="n">
        <v>15.55334368</v>
      </c>
      <c r="H32" s="20" t="n">
        <v>1.68998863</v>
      </c>
      <c r="I32" s="18" t="n">
        <v>2.93496024</v>
      </c>
      <c r="J32" s="20" t="n">
        <v>0.87392678</v>
      </c>
      <c r="K32" s="18" t="n">
        <v>10.88126005</v>
      </c>
      <c r="L32" s="20" t="n">
        <v>1.49691685</v>
      </c>
      <c r="M32" s="18" t="n">
        <v>7.10254613</v>
      </c>
      <c r="N32" s="20" t="n">
        <v>1.45143247</v>
      </c>
      <c r="O32" s="18" t="s">
        <v>349</v>
      </c>
      <c r="P32" s="20" t="s">
        <v>349</v>
      </c>
      <c r="Q32" s="18" t="n">
        <v>0.51674568</v>
      </c>
      <c r="R32" s="20" t="n">
        <v>0.3516793</v>
      </c>
      <c r="S32" s="18" t="n">
        <v>0</v>
      </c>
      <c r="T32" s="20" t="n">
        <v>0</v>
      </c>
      <c r="U32" s="18" t="n">
        <v>0</v>
      </c>
      <c r="V32" s="20" t="n">
        <v>0</v>
      </c>
      <c r="W32" s="18" t="n">
        <v>24.4171513</v>
      </c>
      <c r="X32" s="20" t="n">
        <v>2.18282386</v>
      </c>
    </row>
    <row r="33" spans="1:24">
      <c r="A33" s="15" t="s">
        <v>375</v>
      </c>
      <c r="B33" s="17" t="n">
        <v>3674</v>
      </c>
      <c r="C33" s="18">
        <f>(3225.0/B33*100)</f>
        <v/>
      </c>
      <c r="D33" s="19" t="n">
        <v>449</v>
      </c>
      <c r="E33" s="18" t="n">
        <v>34.53077801</v>
      </c>
      <c r="F33" s="20" t="n">
        <v>2.70336957</v>
      </c>
      <c r="G33" s="18" t="n">
        <v>18.5047744</v>
      </c>
      <c r="H33" s="20" t="n">
        <v>1.80492145</v>
      </c>
      <c r="I33" s="18" t="n">
        <v>0.44777156</v>
      </c>
      <c r="J33" s="20" t="n">
        <v>0.34828819</v>
      </c>
      <c r="K33" s="18" t="n">
        <v>10.77282453</v>
      </c>
      <c r="L33" s="20" t="n">
        <v>1.49183942</v>
      </c>
      <c r="M33" s="18" t="n">
        <v>7.18671697</v>
      </c>
      <c r="N33" s="20" t="n">
        <v>1.60881514</v>
      </c>
      <c r="O33" s="18" t="s">
        <v>349</v>
      </c>
      <c r="P33" s="20" t="s">
        <v>349</v>
      </c>
      <c r="Q33" s="18" t="n">
        <v>3.42770194</v>
      </c>
      <c r="R33" s="20" t="n">
        <v>1.32338069</v>
      </c>
      <c r="S33" s="18" t="n">
        <v>0</v>
      </c>
      <c r="T33" s="20" t="n">
        <v>0</v>
      </c>
      <c r="U33" s="18" t="n">
        <v>0</v>
      </c>
      <c r="V33" s="20" t="n">
        <v>0</v>
      </c>
      <c r="W33" s="18" t="n">
        <v>25.1294326</v>
      </c>
      <c r="X33" s="20" t="n">
        <v>2.16498714</v>
      </c>
    </row>
    <row r="34" spans="1:24">
      <c r="A34" s="15" t="s">
        <v>376</v>
      </c>
      <c r="B34" s="17" t="n">
        <v>3315</v>
      </c>
      <c r="C34" s="18">
        <f>(2911.0/B34*100)</f>
        <v/>
      </c>
      <c r="D34" s="19" t="n">
        <v>404</v>
      </c>
      <c r="E34" s="18" t="n">
        <v>50.4863485</v>
      </c>
      <c r="F34" s="20" t="n">
        <v>2.52578456</v>
      </c>
      <c r="G34" s="18" t="n">
        <v>14.16862599</v>
      </c>
      <c r="H34" s="20" t="n">
        <v>1.73428425</v>
      </c>
      <c r="I34" s="18" t="n">
        <v>6.52453107</v>
      </c>
      <c r="J34" s="20" t="n">
        <v>1.36224529</v>
      </c>
      <c r="K34" s="18" t="n">
        <v>9.342677200000001</v>
      </c>
      <c r="L34" s="20" t="n">
        <v>1.54115192</v>
      </c>
      <c r="M34" s="18" t="n">
        <v>2.80985057</v>
      </c>
      <c r="N34" s="20" t="n">
        <v>0.95149808</v>
      </c>
      <c r="O34" s="18" t="s">
        <v>349</v>
      </c>
      <c r="P34" s="20" t="s">
        <v>349</v>
      </c>
      <c r="Q34" s="18" t="n">
        <v>1.11340013</v>
      </c>
      <c r="R34" s="20" t="n">
        <v>0.52176243</v>
      </c>
      <c r="S34" s="18" t="n">
        <v>0</v>
      </c>
      <c r="T34" s="20" t="n">
        <v>0</v>
      </c>
      <c r="U34" s="18" t="n">
        <v>0</v>
      </c>
      <c r="V34" s="20" t="n">
        <v>0</v>
      </c>
      <c r="W34" s="18" t="n">
        <v>15.55456655</v>
      </c>
      <c r="X34" s="20" t="n">
        <v>1.65853741</v>
      </c>
    </row>
    <row r="35" spans="1:24">
      <c r="A35" s="15" t="s">
        <v>377</v>
      </c>
      <c r="B35" s="17" t="n">
        <v>3505</v>
      </c>
      <c r="C35" s="18">
        <f>(3094.0/B35*100)</f>
        <v/>
      </c>
      <c r="D35" s="19" t="n">
        <v>411</v>
      </c>
      <c r="E35" s="18" t="n">
        <v>33.24291868</v>
      </c>
      <c r="F35" s="20" t="n">
        <v>2.8517632</v>
      </c>
      <c r="G35" s="18" t="n">
        <v>15.26607385</v>
      </c>
      <c r="H35" s="20" t="n">
        <v>2.72358574</v>
      </c>
      <c r="I35" s="18" t="n">
        <v>3.61152788</v>
      </c>
      <c r="J35" s="20" t="n">
        <v>1.28228311</v>
      </c>
      <c r="K35" s="18" t="n">
        <v>13.54267808</v>
      </c>
      <c r="L35" s="20" t="n">
        <v>2.3876868</v>
      </c>
      <c r="M35" s="18" t="n">
        <v>12.17912394</v>
      </c>
      <c r="N35" s="20" t="n">
        <v>2.29970022</v>
      </c>
      <c r="O35" s="18" t="s">
        <v>349</v>
      </c>
      <c r="P35" s="20" t="s">
        <v>349</v>
      </c>
      <c r="Q35" s="18" t="n">
        <v>1.23935549</v>
      </c>
      <c r="R35" s="20" t="n">
        <v>0.5324545000000001</v>
      </c>
      <c r="S35" s="18" t="n">
        <v>0</v>
      </c>
      <c r="T35" s="20" t="n">
        <v>0</v>
      </c>
      <c r="U35" s="18" t="n">
        <v>0</v>
      </c>
      <c r="V35" s="20" t="n">
        <v>0</v>
      </c>
      <c r="W35" s="18" t="n">
        <v>20.91832207</v>
      </c>
      <c r="X35" s="20" t="n">
        <v>2.61575779</v>
      </c>
    </row>
    <row r="36" spans="1:24">
      <c r="A36" s="15" t="s">
        <v>378</v>
      </c>
      <c r="B36" s="17" t="n">
        <v>3332</v>
      </c>
      <c r="C36" s="18">
        <f>(2931.0/B36*100)</f>
        <v/>
      </c>
      <c r="D36" s="19" t="n">
        <v>401</v>
      </c>
      <c r="E36" s="18" t="n">
        <v>32.6910691</v>
      </c>
      <c r="F36" s="20" t="n">
        <v>2.28855768</v>
      </c>
      <c r="G36" s="18" t="n">
        <v>17.68073961</v>
      </c>
      <c r="H36" s="20" t="n">
        <v>2.10003733</v>
      </c>
      <c r="I36" s="18" t="n">
        <v>1.2411589</v>
      </c>
      <c r="J36" s="20" t="n">
        <v>0.68714758</v>
      </c>
      <c r="K36" s="18" t="n">
        <v>3.7353592</v>
      </c>
      <c r="L36" s="20" t="n">
        <v>1.03913308</v>
      </c>
      <c r="M36" s="18" t="n">
        <v>3.58150474</v>
      </c>
      <c r="N36" s="20" t="n">
        <v>0.97296074</v>
      </c>
      <c r="O36" s="18" t="s">
        <v>349</v>
      </c>
      <c r="P36" s="20" t="s">
        <v>349</v>
      </c>
      <c r="Q36" s="18" t="n">
        <v>3.487948</v>
      </c>
      <c r="R36" s="20" t="n">
        <v>1.05881689</v>
      </c>
      <c r="S36" s="18" t="n">
        <v>0</v>
      </c>
      <c r="T36" s="20" t="n">
        <v>0</v>
      </c>
      <c r="U36" s="18" t="n">
        <v>0</v>
      </c>
      <c r="V36" s="20" t="n">
        <v>0</v>
      </c>
      <c r="W36" s="18" t="n">
        <v>37.58222045</v>
      </c>
      <c r="X36" s="20" t="n">
        <v>2.50557049</v>
      </c>
    </row>
    <row r="37" spans="1:24">
      <c r="A37" s="15" t="s">
        <v>379</v>
      </c>
      <c r="B37" s="17" t="n">
        <v>2727</v>
      </c>
      <c r="C37" s="18">
        <f>(2429.0/B37*100)</f>
        <v/>
      </c>
      <c r="D37" s="19" t="n">
        <v>298</v>
      </c>
      <c r="E37" s="18" t="n">
        <v>40.07571838</v>
      </c>
      <c r="F37" s="20" t="n">
        <v>2.94757249</v>
      </c>
      <c r="G37" s="18" t="n">
        <v>19.05082862</v>
      </c>
      <c r="H37" s="20" t="n">
        <v>2.55766242</v>
      </c>
      <c r="I37" s="18" t="n">
        <v>0.87982764</v>
      </c>
      <c r="J37" s="20" t="n">
        <v>0.4921666</v>
      </c>
      <c r="K37" s="18" t="n">
        <v>8.244686359999999</v>
      </c>
      <c r="L37" s="20" t="n">
        <v>1.69014249</v>
      </c>
      <c r="M37" s="18" t="n">
        <v>2.46190367</v>
      </c>
      <c r="N37" s="20" t="n">
        <v>0.93473807</v>
      </c>
      <c r="O37" s="18" t="s">
        <v>349</v>
      </c>
      <c r="P37" s="20" t="s">
        <v>349</v>
      </c>
      <c r="Q37" s="18" t="n">
        <v>5.82887977</v>
      </c>
      <c r="R37" s="20" t="n">
        <v>1.56819738</v>
      </c>
      <c r="S37" s="18" t="n">
        <v>0.31227565</v>
      </c>
      <c r="T37" s="20" t="n">
        <v>0.33052515</v>
      </c>
      <c r="U37" s="18" t="n">
        <v>0</v>
      </c>
      <c r="V37" s="20" t="n">
        <v>0</v>
      </c>
      <c r="W37" s="18" t="n">
        <v>23.14587991</v>
      </c>
      <c r="X37" s="20" t="n">
        <v>1.9400137</v>
      </c>
    </row>
    <row r="38" spans="1:24">
      <c r="A38" s="15" t="s">
        <v>380</v>
      </c>
      <c r="B38" s="17" t="n">
        <v>3053</v>
      </c>
      <c r="C38" s="18">
        <f>(2567.0/B38*100)</f>
        <v/>
      </c>
      <c r="D38" s="19" t="n">
        <v>486</v>
      </c>
      <c r="E38" s="18" t="n">
        <v>37.60177473</v>
      </c>
      <c r="F38" s="20" t="n">
        <v>2.78720549</v>
      </c>
      <c r="G38" s="18" t="n">
        <v>17.73801443</v>
      </c>
      <c r="H38" s="20" t="n">
        <v>1.81817708</v>
      </c>
      <c r="I38" s="18" t="n">
        <v>2.80870742</v>
      </c>
      <c r="J38" s="20" t="n">
        <v>0.81122908</v>
      </c>
      <c r="K38" s="18" t="n">
        <v>8.36635416</v>
      </c>
      <c r="L38" s="20" t="n">
        <v>1.59591739</v>
      </c>
      <c r="M38" s="18" t="n">
        <v>6.48204949</v>
      </c>
      <c r="N38" s="20" t="n">
        <v>1.33506518</v>
      </c>
      <c r="O38" s="18" t="s">
        <v>349</v>
      </c>
      <c r="P38" s="20" t="s">
        <v>349</v>
      </c>
      <c r="Q38" s="18" t="n">
        <v>3.16950685</v>
      </c>
      <c r="R38" s="20" t="n">
        <v>1.00483292</v>
      </c>
      <c r="S38" s="18" t="n">
        <v>0</v>
      </c>
      <c r="T38" s="20" t="n">
        <v>0</v>
      </c>
      <c r="U38" s="18" t="n">
        <v>0</v>
      </c>
      <c r="V38" s="20" t="n">
        <v>0</v>
      </c>
      <c r="W38" s="18" t="n">
        <v>23.83359292</v>
      </c>
      <c r="X38" s="20" t="n">
        <v>2.7110682</v>
      </c>
    </row>
    <row r="39" spans="1:24">
      <c r="A39" s="15" t="s">
        <v>381</v>
      </c>
      <c r="B39" s="17" t="n">
        <v>2957</v>
      </c>
      <c r="C39" s="18">
        <f>(2632.0/B39*100)</f>
        <v/>
      </c>
      <c r="D39" s="19" t="n">
        <v>325</v>
      </c>
      <c r="E39" s="18" t="n">
        <v>28.41374078</v>
      </c>
      <c r="F39" s="20" t="n">
        <v>3.00888708</v>
      </c>
      <c r="G39" s="18" t="n">
        <v>24.28204469</v>
      </c>
      <c r="H39" s="20" t="n">
        <v>2.89712222</v>
      </c>
      <c r="I39" s="18" t="n">
        <v>8.063928219999999</v>
      </c>
      <c r="J39" s="20" t="n">
        <v>1.73231979</v>
      </c>
      <c r="K39" s="18" t="n">
        <v>3.42954481</v>
      </c>
      <c r="L39" s="20" t="n">
        <v>1.23244374</v>
      </c>
      <c r="M39" s="18" t="n">
        <v>13.84039074</v>
      </c>
      <c r="N39" s="20" t="n">
        <v>1.91461954</v>
      </c>
      <c r="O39" s="18" t="s">
        <v>349</v>
      </c>
      <c r="P39" s="20" t="s">
        <v>349</v>
      </c>
      <c r="Q39" s="18" t="n">
        <v>2.78789777</v>
      </c>
      <c r="R39" s="20" t="n">
        <v>0.82942532</v>
      </c>
      <c r="S39" s="18" t="n">
        <v>0</v>
      </c>
      <c r="T39" s="20" t="n">
        <v>0</v>
      </c>
      <c r="U39" s="18" t="n">
        <v>0</v>
      </c>
      <c r="V39" s="20" t="n">
        <v>0</v>
      </c>
      <c r="W39" s="18" t="n">
        <v>19.18245299</v>
      </c>
      <c r="X39" s="20" t="n">
        <v>2.71705387</v>
      </c>
    </row>
    <row r="40" spans="1:24">
      <c r="A40" s="15" t="s">
        <v>382</v>
      </c>
      <c r="B40" s="17" t="n">
        <v>7235</v>
      </c>
      <c r="C40" s="18">
        <f>(6334.0/B40*100)</f>
        <v/>
      </c>
      <c r="D40" s="19" t="n">
        <v>901</v>
      </c>
      <c r="E40" s="18" t="n">
        <v>46.61238863</v>
      </c>
      <c r="F40" s="20" t="n">
        <v>2.63772194</v>
      </c>
      <c r="G40" s="18" t="n">
        <v>18.67355396</v>
      </c>
      <c r="H40" s="20" t="n">
        <v>1.60483805</v>
      </c>
      <c r="I40" s="18" t="n">
        <v>1.19561331</v>
      </c>
      <c r="J40" s="20" t="n">
        <v>0.67471147</v>
      </c>
      <c r="K40" s="18" t="n">
        <v>2.19106473</v>
      </c>
      <c r="L40" s="20" t="n">
        <v>0.71865843</v>
      </c>
      <c r="M40" s="18" t="n">
        <v>1.43591992</v>
      </c>
      <c r="N40" s="20" t="n">
        <v>0.5128355</v>
      </c>
      <c r="O40" s="18" t="s">
        <v>349</v>
      </c>
      <c r="P40" s="20" t="s">
        <v>349</v>
      </c>
      <c r="Q40" s="18" t="n">
        <v>2.42510351</v>
      </c>
      <c r="R40" s="20" t="n">
        <v>0.83632767</v>
      </c>
      <c r="S40" s="18" t="n">
        <v>0.08632086</v>
      </c>
      <c r="T40" s="20" t="n">
        <v>0.08362069</v>
      </c>
      <c r="U40" s="18" t="n">
        <v>0</v>
      </c>
      <c r="V40" s="20" t="n">
        <v>0</v>
      </c>
      <c r="W40" s="18" t="n">
        <v>27.3800351</v>
      </c>
      <c r="X40" s="20" t="n">
        <v>2.47014225</v>
      </c>
    </row>
    <row r="41" spans="1:24">
      <c r="A41" s="15" t="s">
        <v>383</v>
      </c>
      <c r="B41" s="17" t="n">
        <v>2858</v>
      </c>
      <c r="C41" s="18">
        <f>(2540.0/B41*100)</f>
        <v/>
      </c>
      <c r="D41" s="19" t="n">
        <v>318</v>
      </c>
      <c r="E41" s="18" t="n">
        <v>51.14764249</v>
      </c>
      <c r="F41" s="20" t="n">
        <v>2.54070255</v>
      </c>
      <c r="G41" s="18" t="n">
        <v>28.96318324</v>
      </c>
      <c r="H41" s="20" t="n">
        <v>2.6282199</v>
      </c>
      <c r="I41" s="18" t="n">
        <v>0.72880007</v>
      </c>
      <c r="J41" s="20" t="n">
        <v>0.43379689</v>
      </c>
      <c r="K41" s="18" t="n">
        <v>4.73537369</v>
      </c>
      <c r="L41" s="20" t="n">
        <v>1.19167371</v>
      </c>
      <c r="M41" s="18" t="n">
        <v>5.569856</v>
      </c>
      <c r="N41" s="20" t="n">
        <v>1.46493623</v>
      </c>
      <c r="O41" s="18" t="s">
        <v>349</v>
      </c>
      <c r="P41" s="20" t="s">
        <v>349</v>
      </c>
      <c r="Q41" s="18" t="n">
        <v>1.73072071</v>
      </c>
      <c r="R41" s="20" t="n">
        <v>1.12837847</v>
      </c>
      <c r="S41" s="18" t="n">
        <v>0</v>
      </c>
      <c r="T41" s="20" t="n">
        <v>0</v>
      </c>
      <c r="U41" s="18" t="n">
        <v>0</v>
      </c>
      <c r="V41" s="20" t="n">
        <v>0</v>
      </c>
      <c r="W41" s="18" t="n">
        <v>7.12442379</v>
      </c>
      <c r="X41" s="20" t="n">
        <v>1.32184461</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row>
    <row r="45" spans="1:24">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11068</v>
      </c>
      <c r="C46" s="18">
        <f>(10034.0/B46*100)</f>
        <v/>
      </c>
      <c r="D46" s="19" t="n">
        <v>1034</v>
      </c>
      <c r="E46" s="18" t="n">
        <v>42.3116622</v>
      </c>
      <c r="F46" s="20" t="n">
        <v>2.2627157</v>
      </c>
      <c r="G46" s="18" t="n">
        <v>29.0884197</v>
      </c>
      <c r="H46" s="20" t="n">
        <v>2.21932904</v>
      </c>
      <c r="I46" s="18" t="n">
        <v>0.03500497</v>
      </c>
      <c r="J46" s="20" t="n">
        <v>0.03324124</v>
      </c>
      <c r="K46" s="18" t="n">
        <v>0.76421131</v>
      </c>
      <c r="L46" s="20" t="n">
        <v>0.47657789</v>
      </c>
      <c r="M46" s="18" t="n">
        <v>0.61227818</v>
      </c>
      <c r="N46" s="20" t="n">
        <v>0.28364964</v>
      </c>
      <c r="O46" s="18" t="s">
        <v>349</v>
      </c>
      <c r="P46" s="20" t="s">
        <v>349</v>
      </c>
      <c r="Q46" s="18" t="n">
        <v>6.91328725</v>
      </c>
      <c r="R46" s="20" t="n">
        <v>0.97856212</v>
      </c>
      <c r="S46" s="18" t="n">
        <v>0.22908399</v>
      </c>
      <c r="T46" s="20" t="n">
        <v>0.23681524</v>
      </c>
      <c r="U46" s="18" t="n">
        <v>0</v>
      </c>
      <c r="V46" s="20" t="n">
        <v>0</v>
      </c>
      <c r="W46" s="18" t="n">
        <v>20.0460524</v>
      </c>
      <c r="X46" s="20" t="n">
        <v>1.62688269</v>
      </c>
    </row>
    <row r="47" spans="1:24">
      <c r="A47" s="15" t="s">
        <v>389</v>
      </c>
      <c r="B47" s="17" t="n">
        <v>3105</v>
      </c>
      <c r="C47" s="18">
        <f>(2740.0/B47*100)</f>
        <v/>
      </c>
      <c r="D47" s="19" t="n">
        <v>365</v>
      </c>
      <c r="E47" s="18" t="n">
        <v>27.32326919</v>
      </c>
      <c r="F47" s="20" t="n">
        <v>2.40219825</v>
      </c>
      <c r="G47" s="18" t="n">
        <v>20.84509011</v>
      </c>
      <c r="H47" s="20" t="n">
        <v>1.90363298</v>
      </c>
      <c r="I47" s="18" t="n">
        <v>2.69946693</v>
      </c>
      <c r="J47" s="20" t="n">
        <v>0.91941158</v>
      </c>
      <c r="K47" s="18" t="n">
        <v>6.38092526</v>
      </c>
      <c r="L47" s="20" t="n">
        <v>1.48518705</v>
      </c>
      <c r="M47" s="18" t="n">
        <v>4.49452481</v>
      </c>
      <c r="N47" s="20" t="n">
        <v>1.17222008</v>
      </c>
      <c r="O47" s="18" t="s">
        <v>349</v>
      </c>
      <c r="P47" s="20" t="s">
        <v>349</v>
      </c>
      <c r="Q47" s="18" t="n">
        <v>3.04412341</v>
      </c>
      <c r="R47" s="20" t="n">
        <v>0.78048936</v>
      </c>
      <c r="S47" s="18" t="n">
        <v>0</v>
      </c>
      <c r="T47" s="20" t="n">
        <v>0</v>
      </c>
      <c r="U47" s="18" t="n">
        <v>0</v>
      </c>
      <c r="V47" s="20" t="n">
        <v>0</v>
      </c>
      <c r="W47" s="18" t="n">
        <v>35.21260029</v>
      </c>
      <c r="X47" s="20" t="n">
        <v>2.27923955</v>
      </c>
    </row>
    <row r="48" spans="1:24">
      <c r="A48" s="15" t="s">
        <v>390</v>
      </c>
      <c r="B48" s="17" t="n">
        <v>5159</v>
      </c>
      <c r="C48" s="18">
        <f>(4508.0/B48*100)</f>
        <v/>
      </c>
      <c r="D48" s="19" t="n">
        <v>651</v>
      </c>
      <c r="E48" s="18" t="n">
        <v>21.88158188</v>
      </c>
      <c r="F48" s="20" t="n">
        <v>1.76789666</v>
      </c>
      <c r="G48" s="18" t="n">
        <v>12.18222515</v>
      </c>
      <c r="H48" s="20" t="n">
        <v>1.79845704</v>
      </c>
      <c r="I48" s="18" t="n">
        <v>4.47383531</v>
      </c>
      <c r="J48" s="20" t="n">
        <v>0.94812346</v>
      </c>
      <c r="K48" s="18" t="n">
        <v>7.14501425</v>
      </c>
      <c r="L48" s="20" t="n">
        <v>1.14976885</v>
      </c>
      <c r="M48" s="18" t="n">
        <v>40.73350861</v>
      </c>
      <c r="N48" s="20" t="n">
        <v>2.42135094</v>
      </c>
      <c r="O48" s="18" t="s">
        <v>349</v>
      </c>
      <c r="P48" s="20" t="s">
        <v>349</v>
      </c>
      <c r="Q48" s="18" t="n">
        <v>2.09534267</v>
      </c>
      <c r="R48" s="20" t="n">
        <v>0.82646389</v>
      </c>
      <c r="S48" s="18" t="n">
        <v>0</v>
      </c>
      <c r="T48" s="20" t="n">
        <v>0</v>
      </c>
      <c r="U48" s="18" t="n">
        <v>0</v>
      </c>
      <c r="V48" s="20" t="n">
        <v>0</v>
      </c>
      <c r="W48" s="18" t="n">
        <v>11.48849213</v>
      </c>
      <c r="X48" s="20" t="n">
        <v>1.61345224</v>
      </c>
    </row>
    <row r="49" spans="1:24">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5637</v>
      </c>
      <c r="C50" s="18">
        <f>(4984.0/B50*100)</f>
        <v/>
      </c>
      <c r="D50" s="19" t="n">
        <v>653</v>
      </c>
      <c r="E50" s="18" t="n">
        <v>48.17956082</v>
      </c>
      <c r="F50" s="20" t="n">
        <v>2.8330033</v>
      </c>
      <c r="G50" s="18" t="n">
        <v>31.27195482</v>
      </c>
      <c r="H50" s="20" t="n">
        <v>2.38272883</v>
      </c>
      <c r="I50" s="18" t="n">
        <v>0.03934911</v>
      </c>
      <c r="J50" s="20" t="n">
        <v>0.04035515</v>
      </c>
      <c r="K50" s="18" t="n">
        <v>1.8802963</v>
      </c>
      <c r="L50" s="20" t="n">
        <v>0.6451064</v>
      </c>
      <c r="M50" s="18" t="n">
        <v>0.26758858</v>
      </c>
      <c r="N50" s="20" t="n">
        <v>0.2659276</v>
      </c>
      <c r="O50" s="18" t="s">
        <v>349</v>
      </c>
      <c r="P50" s="20" t="s">
        <v>349</v>
      </c>
      <c r="Q50" s="18" t="n">
        <v>3.27475707</v>
      </c>
      <c r="R50" s="20" t="n">
        <v>0.86567341</v>
      </c>
      <c r="S50" s="18" t="n">
        <v>1.27633141</v>
      </c>
      <c r="T50" s="20" t="n">
        <v>0.49515432</v>
      </c>
      <c r="U50" s="18" t="n">
        <v>0</v>
      </c>
      <c r="V50" s="20" t="n">
        <v>0</v>
      </c>
      <c r="W50" s="18" t="n">
        <v>13.81016189</v>
      </c>
      <c r="X50" s="20" t="n">
        <v>1.86490365</v>
      </c>
    </row>
    <row r="51" spans="1:24">
      <c r="A51" s="15" t="s">
        <v>393</v>
      </c>
      <c r="B51" s="17" t="n">
        <v>3372</v>
      </c>
      <c r="C51" s="18">
        <f>(3042.0/B51*100)</f>
        <v/>
      </c>
      <c r="D51" s="19" t="n">
        <v>330</v>
      </c>
      <c r="E51" s="18" t="n">
        <v>49.39323014</v>
      </c>
      <c r="F51" s="20" t="n">
        <v>3.28225807</v>
      </c>
      <c r="G51" s="18" t="n">
        <v>26.66421518</v>
      </c>
      <c r="H51" s="20" t="n">
        <v>2.83089695</v>
      </c>
      <c r="I51" s="18" t="n">
        <v>0</v>
      </c>
      <c r="J51" s="20" t="n">
        <v>0</v>
      </c>
      <c r="K51" s="18" t="n">
        <v>0.47373578</v>
      </c>
      <c r="L51" s="20" t="n">
        <v>0.36205988</v>
      </c>
      <c r="M51" s="18" t="n">
        <v>0</v>
      </c>
      <c r="N51" s="20" t="n">
        <v>0</v>
      </c>
      <c r="O51" s="18" t="s">
        <v>349</v>
      </c>
      <c r="P51" s="20" t="s">
        <v>349</v>
      </c>
      <c r="Q51" s="18" t="n">
        <v>3.06978903</v>
      </c>
      <c r="R51" s="20" t="n">
        <v>1.01467973</v>
      </c>
      <c r="S51" s="18" t="n">
        <v>0.35997598</v>
      </c>
      <c r="T51" s="20" t="n">
        <v>0.33912849</v>
      </c>
      <c r="U51" s="18" t="n">
        <v>0</v>
      </c>
      <c r="V51" s="20" t="n">
        <v>0</v>
      </c>
      <c r="W51" s="18" t="n">
        <v>20.0390539</v>
      </c>
      <c r="X51" s="20" t="n">
        <v>2.37707917</v>
      </c>
    </row>
    <row r="52" spans="1:24">
      <c r="A52" s="15" t="s">
        <v>394</v>
      </c>
      <c r="B52" s="17" t="n">
        <v>2796</v>
      </c>
      <c r="C52" s="18">
        <f>(2452.0/B52*100)</f>
        <v/>
      </c>
      <c r="D52" s="19" t="n">
        <v>344</v>
      </c>
      <c r="E52" s="18" t="n">
        <v>36.00313137</v>
      </c>
      <c r="F52" s="20" t="n">
        <v>2.37565923</v>
      </c>
      <c r="G52" s="18" t="n">
        <v>20.67240261</v>
      </c>
      <c r="H52" s="20" t="n">
        <v>2.21848416</v>
      </c>
      <c r="I52" s="18" t="n">
        <v>1.29494846</v>
      </c>
      <c r="J52" s="20" t="n">
        <v>0.65777358</v>
      </c>
      <c r="K52" s="18" t="n">
        <v>9.193181239999999</v>
      </c>
      <c r="L52" s="20" t="n">
        <v>1.49981505</v>
      </c>
      <c r="M52" s="18" t="n">
        <v>4.54899549</v>
      </c>
      <c r="N52" s="20" t="n">
        <v>1.28426462</v>
      </c>
      <c r="O52" s="18" t="s">
        <v>349</v>
      </c>
      <c r="P52" s="20" t="s">
        <v>349</v>
      </c>
      <c r="Q52" s="18" t="n">
        <v>2.66188927</v>
      </c>
      <c r="R52" s="20" t="n">
        <v>0.91638678</v>
      </c>
      <c r="S52" s="18" t="n">
        <v>0</v>
      </c>
      <c r="T52" s="20" t="n">
        <v>0</v>
      </c>
      <c r="U52" s="18" t="n">
        <v>0</v>
      </c>
      <c r="V52" s="20" t="n">
        <v>0</v>
      </c>
      <c r="W52" s="18" t="n">
        <v>25.62545155</v>
      </c>
      <c r="X52" s="20" t="n">
        <v>2.26037017</v>
      </c>
    </row>
    <row r="53" spans="1:24">
      <c r="A53" s="15" t="s">
        <v>395</v>
      </c>
      <c r="B53" s="17" t="n">
        <v>2811</v>
      </c>
      <c r="C53" s="18">
        <f>(2450.0/B53*100)</f>
        <v/>
      </c>
      <c r="D53" s="19" t="n">
        <v>361</v>
      </c>
      <c r="E53" s="18" t="n">
        <v>40.11948451</v>
      </c>
      <c r="F53" s="20" t="n">
        <v>2.88254997</v>
      </c>
      <c r="G53" s="18" t="n">
        <v>25.70139345</v>
      </c>
      <c r="H53" s="20" t="n">
        <v>2.28975373</v>
      </c>
      <c r="I53" s="18" t="n">
        <v>0.7740861999999999</v>
      </c>
      <c r="J53" s="20" t="n">
        <v>0.55946137</v>
      </c>
      <c r="K53" s="18" t="n">
        <v>5.75701776</v>
      </c>
      <c r="L53" s="20" t="n">
        <v>1.23609474</v>
      </c>
      <c r="M53" s="18" t="n">
        <v>3.05487816</v>
      </c>
      <c r="N53" s="20" t="n">
        <v>1.102678</v>
      </c>
      <c r="O53" s="18" t="s">
        <v>349</v>
      </c>
      <c r="P53" s="20" t="s">
        <v>349</v>
      </c>
      <c r="Q53" s="18" t="n">
        <v>3.40480751</v>
      </c>
      <c r="R53" s="20" t="n">
        <v>0.95772328</v>
      </c>
      <c r="S53" s="18" t="n">
        <v>0</v>
      </c>
      <c r="T53" s="20" t="n">
        <v>0</v>
      </c>
      <c r="U53" s="18" t="n">
        <v>0</v>
      </c>
      <c r="V53" s="20" t="n">
        <v>0</v>
      </c>
      <c r="W53" s="18" t="n">
        <v>21.18833241</v>
      </c>
      <c r="X53" s="20" t="n">
        <v>2.12049667</v>
      </c>
    </row>
    <row r="54" spans="1:24">
      <c r="A54" s="15" t="s">
        <v>396</v>
      </c>
      <c r="B54" s="17" t="n">
        <v>2266</v>
      </c>
      <c r="C54" s="18">
        <f>(1865.0/B54*100)</f>
        <v/>
      </c>
      <c r="D54" s="19" t="n">
        <v>401</v>
      </c>
      <c r="E54" s="18" t="n">
        <v>19.82101344</v>
      </c>
      <c r="F54" s="20" t="n">
        <v>1.88633074</v>
      </c>
      <c r="G54" s="18" t="n">
        <v>29.26319836</v>
      </c>
      <c r="H54" s="20" t="n">
        <v>2.39779381</v>
      </c>
      <c r="I54" s="18" t="n">
        <v>0</v>
      </c>
      <c r="J54" s="20" t="n">
        <v>0</v>
      </c>
      <c r="K54" s="18" t="n">
        <v>0</v>
      </c>
      <c r="L54" s="20" t="n">
        <v>0</v>
      </c>
      <c r="M54" s="18" t="n">
        <v>0.18178848</v>
      </c>
      <c r="N54" s="20" t="n">
        <v>0.18277488</v>
      </c>
      <c r="O54" s="18" t="s">
        <v>349</v>
      </c>
      <c r="P54" s="20" t="s">
        <v>349</v>
      </c>
      <c r="Q54" s="18" t="n">
        <v>17.84042824</v>
      </c>
      <c r="R54" s="20" t="n">
        <v>2.01060721</v>
      </c>
      <c r="S54" s="18" t="n">
        <v>0.5225758700000001</v>
      </c>
      <c r="T54" s="20" t="n">
        <v>0.55279625</v>
      </c>
      <c r="U54" s="18" t="n">
        <v>0</v>
      </c>
      <c r="V54" s="20" t="n">
        <v>0</v>
      </c>
      <c r="W54" s="18" t="n">
        <v>32.37099561</v>
      </c>
      <c r="X54" s="20" t="n">
        <v>2.39804227</v>
      </c>
    </row>
    <row r="55" spans="1:24">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row>
    <row r="56" spans="1:24">
      <c r="A56" s="15" t="s">
        <v>398</v>
      </c>
      <c r="B56" s="17" t="n">
        <v>2684</v>
      </c>
      <c r="C56" s="18">
        <f>(2361.0/B56*100)</f>
        <v/>
      </c>
      <c r="D56" s="19" t="n">
        <v>323</v>
      </c>
      <c r="E56" s="18" t="n">
        <v>39.65129545</v>
      </c>
      <c r="F56" s="20" t="n">
        <v>2.59770675</v>
      </c>
      <c r="G56" s="18" t="n">
        <v>22.35844803</v>
      </c>
      <c r="H56" s="20" t="n">
        <v>2.21505078</v>
      </c>
      <c r="I56" s="18" t="n">
        <v>1.66415555</v>
      </c>
      <c r="J56" s="20" t="n">
        <v>0.51804709</v>
      </c>
      <c r="K56" s="18" t="n">
        <v>7.59197272</v>
      </c>
      <c r="L56" s="20" t="n">
        <v>1.41560876</v>
      </c>
      <c r="M56" s="18" t="n">
        <v>10.21046431</v>
      </c>
      <c r="N56" s="20" t="n">
        <v>2.03200896</v>
      </c>
      <c r="O56" s="18" t="s">
        <v>349</v>
      </c>
      <c r="P56" s="20" t="s">
        <v>349</v>
      </c>
      <c r="Q56" s="18" t="n">
        <v>0.64422369</v>
      </c>
      <c r="R56" s="20" t="n">
        <v>0.37835943</v>
      </c>
      <c r="S56" s="18" t="n">
        <v>0</v>
      </c>
      <c r="T56" s="20" t="n">
        <v>0</v>
      </c>
      <c r="U56" s="18" t="n">
        <v>0</v>
      </c>
      <c r="V56" s="20" t="n">
        <v>0</v>
      </c>
      <c r="W56" s="18" t="n">
        <v>17.87944024</v>
      </c>
      <c r="X56" s="20" t="n">
        <v>2.72719974</v>
      </c>
    </row>
    <row r="57" spans="1:24">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row>
    <row r="58" spans="1:24">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3324</v>
      </c>
      <c r="C61" s="18">
        <f>(2899.0/B61*100)</f>
        <v/>
      </c>
      <c r="D61" s="19" t="n">
        <v>425</v>
      </c>
      <c r="E61" s="18" t="n">
        <v>45.70612126</v>
      </c>
      <c r="F61" s="20" t="n">
        <v>2.47295002</v>
      </c>
      <c r="G61" s="18" t="n">
        <v>17.98568886</v>
      </c>
      <c r="H61" s="20" t="n">
        <v>2.22704791</v>
      </c>
      <c r="I61" s="18" t="n">
        <v>0.31483985</v>
      </c>
      <c r="J61" s="20" t="n">
        <v>0.18183355</v>
      </c>
      <c r="K61" s="18" t="n">
        <v>3.35210991</v>
      </c>
      <c r="L61" s="20" t="n">
        <v>0.93456147</v>
      </c>
      <c r="M61" s="18" t="n">
        <v>1.27152055</v>
      </c>
      <c r="N61" s="20" t="n">
        <v>0.56429708</v>
      </c>
      <c r="O61" s="18" t="s">
        <v>349</v>
      </c>
      <c r="P61" s="20" t="s">
        <v>349</v>
      </c>
      <c r="Q61" s="18" t="n">
        <v>1.00506655</v>
      </c>
      <c r="R61" s="20" t="n">
        <v>0.56060608</v>
      </c>
      <c r="S61" s="18" t="n">
        <v>0</v>
      </c>
      <c r="T61" s="20" t="n">
        <v>0</v>
      </c>
      <c r="U61" s="18" t="n">
        <v>0</v>
      </c>
      <c r="V61" s="20" t="n">
        <v>0</v>
      </c>
      <c r="W61" s="18" t="n">
        <v>30.36465302</v>
      </c>
      <c r="X61" s="20" t="n">
        <v>2.55529833</v>
      </c>
    </row>
    <row r="62" spans="1:24">
      <c r="A62" s="15" t="s">
        <v>404</v>
      </c>
      <c r="B62" s="17" t="n">
        <v>2246</v>
      </c>
      <c r="C62" s="18">
        <f>(1986.0/B62*100)</f>
        <v/>
      </c>
      <c r="D62" s="19" t="n">
        <v>260</v>
      </c>
      <c r="E62" s="18" t="n">
        <v>36.91630451</v>
      </c>
      <c r="F62" s="20" t="n">
        <v>2.66680049</v>
      </c>
      <c r="G62" s="18" t="n">
        <v>16.93380311</v>
      </c>
      <c r="H62" s="20" t="n">
        <v>2.26238416</v>
      </c>
      <c r="I62" s="18" t="n">
        <v>2.31365334</v>
      </c>
      <c r="J62" s="20" t="n">
        <v>0.75700376</v>
      </c>
      <c r="K62" s="18" t="n">
        <v>14.95727576</v>
      </c>
      <c r="L62" s="20" t="n">
        <v>2.13222479</v>
      </c>
      <c r="M62" s="18" t="n">
        <v>19.64461168</v>
      </c>
      <c r="N62" s="20" t="n">
        <v>2.34332824</v>
      </c>
      <c r="O62" s="18" t="s">
        <v>349</v>
      </c>
      <c r="P62" s="20" t="s">
        <v>349</v>
      </c>
      <c r="Q62" s="18" t="n">
        <v>0.38186534</v>
      </c>
      <c r="R62" s="20" t="n">
        <v>0.38181176</v>
      </c>
      <c r="S62" s="18" t="n">
        <v>0</v>
      </c>
      <c r="T62" s="20" t="n">
        <v>0</v>
      </c>
      <c r="U62" s="18" t="n">
        <v>0</v>
      </c>
      <c r="V62" s="20" t="n">
        <v>0</v>
      </c>
      <c r="W62" s="18" t="n">
        <v>8.852486259999999</v>
      </c>
      <c r="X62" s="20" t="n">
        <v>1.7026333</v>
      </c>
    </row>
    <row r="63" spans="1:24">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row>
    <row r="65" spans="1:24">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2894</v>
      </c>
      <c r="C66" s="18">
        <f>(2539.0/B66*100)</f>
        <v/>
      </c>
      <c r="D66" s="19" t="n">
        <v>355</v>
      </c>
      <c r="E66" s="18" t="n">
        <v>33.88182842</v>
      </c>
      <c r="F66" s="20" t="n">
        <v>2.32881532</v>
      </c>
      <c r="G66" s="18" t="n">
        <v>24.657773</v>
      </c>
      <c r="H66" s="20" t="n">
        <v>2.23020815</v>
      </c>
      <c r="I66" s="18" t="n">
        <v>0.81581928</v>
      </c>
      <c r="J66" s="20" t="n">
        <v>0.45974746</v>
      </c>
      <c r="K66" s="18" t="n">
        <v>3.57046073</v>
      </c>
      <c r="L66" s="20" t="n">
        <v>0.94822924</v>
      </c>
      <c r="M66" s="18" t="n">
        <v>2.50995459</v>
      </c>
      <c r="N66" s="20" t="n">
        <v>0.87431695</v>
      </c>
      <c r="O66" s="18" t="s">
        <v>349</v>
      </c>
      <c r="P66" s="20" t="s">
        <v>349</v>
      </c>
      <c r="Q66" s="18" t="n">
        <v>5.74835504</v>
      </c>
      <c r="R66" s="20" t="n">
        <v>1.1734712</v>
      </c>
      <c r="S66" s="18" t="n">
        <v>0.49142527</v>
      </c>
      <c r="T66" s="20" t="n">
        <v>0.34584834</v>
      </c>
      <c r="U66" s="18" t="n">
        <v>0</v>
      </c>
      <c r="V66" s="20" t="n">
        <v>0</v>
      </c>
      <c r="W66" s="18" t="n">
        <v>28.32438368</v>
      </c>
      <c r="X66" s="20" t="n">
        <v>2.31180583</v>
      </c>
    </row>
    <row r="67" spans="1:24">
      <c r="A67" s="15" t="s">
        <v>409</v>
      </c>
      <c r="B67" s="17" t="n">
        <v>3511</v>
      </c>
      <c r="C67" s="18">
        <f>(3147.0/B67*100)</f>
        <v/>
      </c>
      <c r="D67" s="19" t="n">
        <v>364</v>
      </c>
      <c r="E67" s="18" t="n">
        <v>40.61467878</v>
      </c>
      <c r="F67" s="20" t="n">
        <v>3.00904027</v>
      </c>
      <c r="G67" s="18" t="n">
        <v>24.44269754</v>
      </c>
      <c r="H67" s="20" t="n">
        <v>2.0342072</v>
      </c>
      <c r="I67" s="18" t="n">
        <v>0.23972904</v>
      </c>
      <c r="J67" s="20" t="n">
        <v>0.2432263</v>
      </c>
      <c r="K67" s="18" t="n">
        <v>0.7594935</v>
      </c>
      <c r="L67" s="20" t="n">
        <v>0.54761734</v>
      </c>
      <c r="M67" s="18" t="n">
        <v>2.41864159</v>
      </c>
      <c r="N67" s="20" t="n">
        <v>1.155658</v>
      </c>
      <c r="O67" s="18" t="s">
        <v>349</v>
      </c>
      <c r="P67" s="20" t="s">
        <v>349</v>
      </c>
      <c r="Q67" s="18" t="n">
        <v>1.6052227</v>
      </c>
      <c r="R67" s="20" t="n">
        <v>0.7459905100000001</v>
      </c>
      <c r="S67" s="18" t="n">
        <v>0.55247686</v>
      </c>
      <c r="T67" s="20" t="n">
        <v>0.3933633</v>
      </c>
      <c r="U67" s="18" t="n">
        <v>0</v>
      </c>
      <c r="V67" s="20" t="n">
        <v>0</v>
      </c>
      <c r="W67" s="18" t="n">
        <v>29.36706</v>
      </c>
      <c r="X67" s="20" t="n">
        <v>2.57485836</v>
      </c>
    </row>
    <row r="68" spans="1:24">
      <c r="A68" s="15" t="s">
        <v>410</v>
      </c>
      <c r="B68" s="17" t="n">
        <v>6049</v>
      </c>
      <c r="C68" s="18">
        <f>(5042.0/B68*100)</f>
        <v/>
      </c>
      <c r="D68" s="19" t="n">
        <v>1007</v>
      </c>
      <c r="E68" s="18" t="n">
        <v>30.40122156</v>
      </c>
      <c r="F68" s="20" t="n">
        <v>1.44219261</v>
      </c>
      <c r="G68" s="18" t="n">
        <v>39.25462418</v>
      </c>
      <c r="H68" s="20" t="n">
        <v>1.54861985</v>
      </c>
      <c r="I68" s="18" t="n">
        <v>0.40902552</v>
      </c>
      <c r="J68" s="20" t="n">
        <v>0.20615043</v>
      </c>
      <c r="K68" s="18" t="n">
        <v>2.27405749</v>
      </c>
      <c r="L68" s="20" t="n">
        <v>0.45070323</v>
      </c>
      <c r="M68" s="18" t="n">
        <v>1.21042542</v>
      </c>
      <c r="N68" s="20" t="n">
        <v>0.33345976</v>
      </c>
      <c r="O68" s="18" t="s">
        <v>349</v>
      </c>
      <c r="P68" s="20" t="s">
        <v>349</v>
      </c>
      <c r="Q68" s="18" t="n">
        <v>8.649871449999999</v>
      </c>
      <c r="R68" s="20" t="n">
        <v>0.87131021</v>
      </c>
      <c r="S68" s="18" t="n">
        <v>0</v>
      </c>
      <c r="T68" s="20" t="n">
        <v>0</v>
      </c>
      <c r="U68" s="18" t="n">
        <v>0</v>
      </c>
      <c r="V68" s="20" t="n">
        <v>0</v>
      </c>
      <c r="W68" s="18" t="n">
        <v>17.8007744</v>
      </c>
      <c r="X68" s="20" t="n">
        <v>1.14531271</v>
      </c>
    </row>
    <row r="69" spans="1:24">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2929</v>
      </c>
      <c r="C70" s="18">
        <f>(2591.0/B70*100)</f>
        <v/>
      </c>
      <c r="D70" s="19" t="n">
        <v>338</v>
      </c>
      <c r="E70" s="18" t="n">
        <v>37.59482746</v>
      </c>
      <c r="F70" s="20" t="n">
        <v>3.17719086</v>
      </c>
      <c r="G70" s="18" t="n">
        <v>17.21783564</v>
      </c>
      <c r="H70" s="20" t="n">
        <v>2.3207735</v>
      </c>
      <c r="I70" s="18" t="n">
        <v>4.85585633</v>
      </c>
      <c r="J70" s="20" t="n">
        <v>1.27597237</v>
      </c>
      <c r="K70" s="18" t="n">
        <v>14.52716455</v>
      </c>
      <c r="L70" s="20" t="n">
        <v>2.19015295</v>
      </c>
      <c r="M70" s="18" t="n">
        <v>7.93271944</v>
      </c>
      <c r="N70" s="20" t="n">
        <v>1.55870616</v>
      </c>
      <c r="O70" s="18" t="s">
        <v>349</v>
      </c>
      <c r="P70" s="20" t="s">
        <v>349</v>
      </c>
      <c r="Q70" s="18" t="n">
        <v>1.68220637</v>
      </c>
      <c r="R70" s="20" t="n">
        <v>0.65142153</v>
      </c>
      <c r="S70" s="18" t="n">
        <v>1.0664532</v>
      </c>
      <c r="T70" s="20" t="n">
        <v>0.5109169</v>
      </c>
      <c r="U70" s="18" t="n">
        <v>0</v>
      </c>
      <c r="V70" s="20" t="n">
        <v>0</v>
      </c>
      <c r="W70" s="18" t="n">
        <v>15.12293699</v>
      </c>
      <c r="X70" s="20" t="n">
        <v>1.97899408</v>
      </c>
    </row>
    <row r="71" spans="1:24">
      <c r="A71" s="15" t="s">
        <v>413</v>
      </c>
      <c r="B71" s="17" t="n">
        <v>3142</v>
      </c>
      <c r="C71" s="18">
        <f>(2754.0/B71*100)</f>
        <v/>
      </c>
      <c r="D71" s="19" t="n">
        <v>388</v>
      </c>
      <c r="E71" s="18" t="n">
        <v>43.44830742</v>
      </c>
      <c r="F71" s="20" t="n">
        <v>2.57214974</v>
      </c>
      <c r="G71" s="18" t="n">
        <v>24.89128128</v>
      </c>
      <c r="H71" s="20" t="n">
        <v>2.19708985</v>
      </c>
      <c r="I71" s="18" t="n">
        <v>1.47549818</v>
      </c>
      <c r="J71" s="20" t="n">
        <v>0.68473051</v>
      </c>
      <c r="K71" s="18" t="n">
        <v>5.76381288</v>
      </c>
      <c r="L71" s="20" t="n">
        <v>1.24637209</v>
      </c>
      <c r="M71" s="18" t="n">
        <v>10.31946875</v>
      </c>
      <c r="N71" s="20" t="n">
        <v>1.67296026</v>
      </c>
      <c r="O71" s="18" t="s">
        <v>349</v>
      </c>
      <c r="P71" s="20" t="s">
        <v>349</v>
      </c>
      <c r="Q71" s="18" t="n">
        <v>1.25671466</v>
      </c>
      <c r="R71" s="20" t="n">
        <v>0.40119619</v>
      </c>
      <c r="S71" s="18" t="n">
        <v>0</v>
      </c>
      <c r="T71" s="20" t="n">
        <v>0</v>
      </c>
      <c r="U71" s="18" t="n">
        <v>0</v>
      </c>
      <c r="V71" s="20" t="n">
        <v>0</v>
      </c>
      <c r="W71" s="18" t="n">
        <v>12.84491684</v>
      </c>
      <c r="X71" s="20" t="n">
        <v>1.63425877</v>
      </c>
    </row>
    <row r="72" spans="1:24">
      <c r="A72" s="15" t="s">
        <v>414</v>
      </c>
      <c r="B72" s="17" t="n">
        <v>3889</v>
      </c>
      <c r="C72" s="18">
        <f>(3421.0/B72*100)</f>
        <v/>
      </c>
      <c r="D72" s="19" t="n">
        <v>468</v>
      </c>
      <c r="E72" s="18" t="n">
        <v>25.72203951</v>
      </c>
      <c r="F72" s="20" t="n">
        <v>2.1543974</v>
      </c>
      <c r="G72" s="18" t="n">
        <v>17.40208082</v>
      </c>
      <c r="H72" s="20" t="n">
        <v>1.78041693</v>
      </c>
      <c r="I72" s="18" t="n">
        <v>6.72107065</v>
      </c>
      <c r="J72" s="20" t="n">
        <v>1.24416307</v>
      </c>
      <c r="K72" s="18" t="n">
        <v>7.52421727</v>
      </c>
      <c r="L72" s="20" t="n">
        <v>1.09008889</v>
      </c>
      <c r="M72" s="18" t="n">
        <v>29.65503439</v>
      </c>
      <c r="N72" s="20" t="n">
        <v>2.20840667</v>
      </c>
      <c r="O72" s="18" t="s">
        <v>349</v>
      </c>
      <c r="P72" s="20" t="s">
        <v>349</v>
      </c>
      <c r="Q72" s="18" t="n">
        <v>0.6707642700000001</v>
      </c>
      <c r="R72" s="20" t="n">
        <v>0.34807785</v>
      </c>
      <c r="S72" s="18" t="n">
        <v>0</v>
      </c>
      <c r="T72" s="20" t="n">
        <v>0</v>
      </c>
      <c r="U72" s="18" t="n">
        <v>0</v>
      </c>
      <c r="V72" s="20" t="n">
        <v>0</v>
      </c>
      <c r="W72" s="18" t="n">
        <v>12.30479308</v>
      </c>
      <c r="X72" s="20" t="n">
        <v>1.62440548</v>
      </c>
    </row>
    <row r="73" spans="1:24">
      <c r="A73" s="15" t="s">
        <v>415</v>
      </c>
      <c r="B73" s="17" t="n">
        <v>3597</v>
      </c>
      <c r="C73" s="18">
        <f>(3188.0/B73*100)</f>
        <v/>
      </c>
      <c r="D73" s="19" t="n">
        <v>409</v>
      </c>
      <c r="E73" s="18" t="n">
        <v>40.4480972</v>
      </c>
      <c r="F73" s="20" t="n">
        <v>2.32009947</v>
      </c>
      <c r="G73" s="18" t="n">
        <v>48.20019637</v>
      </c>
      <c r="H73" s="20" t="n">
        <v>2.65886923</v>
      </c>
      <c r="I73" s="18" t="n">
        <v>0.6745246499999999</v>
      </c>
      <c r="J73" s="20" t="n">
        <v>0.65563996</v>
      </c>
      <c r="K73" s="18" t="n">
        <v>1.19412383</v>
      </c>
      <c r="L73" s="20" t="n">
        <v>0.64329722</v>
      </c>
      <c r="M73" s="18" t="n">
        <v>0.78750531</v>
      </c>
      <c r="N73" s="20" t="n">
        <v>0.53701396</v>
      </c>
      <c r="O73" s="18" t="s">
        <v>349</v>
      </c>
      <c r="P73" s="20" t="s">
        <v>349</v>
      </c>
      <c r="Q73" s="18" t="n">
        <v>0.73102649</v>
      </c>
      <c r="R73" s="20" t="n">
        <v>0.52847324</v>
      </c>
      <c r="S73" s="18" t="n">
        <v>0.01006359</v>
      </c>
      <c r="T73" s="20" t="n">
        <v>0.0100439</v>
      </c>
      <c r="U73" s="18" t="n">
        <v>0</v>
      </c>
      <c r="V73" s="20" t="n">
        <v>0</v>
      </c>
      <c r="W73" s="18" t="n">
        <v>7.95446256</v>
      </c>
      <c r="X73" s="20" t="n">
        <v>1.68736016</v>
      </c>
    </row>
    <row r="74" spans="1:24">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2406</v>
      </c>
      <c r="C75" s="18">
        <f>(2142.0/B75*100)</f>
        <v/>
      </c>
      <c r="D75" s="19" t="n">
        <v>264</v>
      </c>
      <c r="E75" s="18" t="n">
        <v>41.94780344</v>
      </c>
      <c r="F75" s="20" t="n">
        <v>2.99112921</v>
      </c>
      <c r="G75" s="18" t="n">
        <v>27.42076795</v>
      </c>
      <c r="H75" s="20" t="n">
        <v>3.14515126</v>
      </c>
      <c r="I75" s="18" t="n">
        <v>0</v>
      </c>
      <c r="J75" s="20" t="n">
        <v>0</v>
      </c>
      <c r="K75" s="18" t="n">
        <v>0.37930348</v>
      </c>
      <c r="L75" s="20" t="n">
        <v>0.37678524</v>
      </c>
      <c r="M75" s="18" t="n">
        <v>0</v>
      </c>
      <c r="N75" s="20" t="n">
        <v>0</v>
      </c>
      <c r="O75" s="18" t="s">
        <v>349</v>
      </c>
      <c r="P75" s="20" t="s">
        <v>349</v>
      </c>
      <c r="Q75" s="18" t="n">
        <v>9.579255959999999</v>
      </c>
      <c r="R75" s="20" t="n">
        <v>1.89203271</v>
      </c>
      <c r="S75" s="18" t="n">
        <v>0</v>
      </c>
      <c r="T75" s="20" t="n">
        <v>0</v>
      </c>
      <c r="U75" s="18" t="n">
        <v>0</v>
      </c>
      <c r="V75" s="20" t="n">
        <v>0</v>
      </c>
      <c r="W75" s="18" t="n">
        <v>20.67286918</v>
      </c>
      <c r="X75" s="20" t="n">
        <v>3.24475971</v>
      </c>
    </row>
    <row r="76" spans="1:24">
      <c r="A76" s="15" t="s">
        <v>418</v>
      </c>
      <c r="B76" s="17" t="n">
        <v>7052</v>
      </c>
      <c r="C76" s="18">
        <f>(6178.0/B76*100)</f>
        <v/>
      </c>
      <c r="D76" s="19" t="n">
        <v>874</v>
      </c>
      <c r="E76" s="18" t="n">
        <v>39.55616748</v>
      </c>
      <c r="F76" s="20" t="n">
        <v>2.27556366</v>
      </c>
      <c r="G76" s="18" t="n">
        <v>40.2418224</v>
      </c>
      <c r="H76" s="20" t="n">
        <v>2.31018218</v>
      </c>
      <c r="I76" s="18" t="n">
        <v>0.32244305</v>
      </c>
      <c r="J76" s="20" t="n">
        <v>0.19665854</v>
      </c>
      <c r="K76" s="18" t="n">
        <v>1.93713627</v>
      </c>
      <c r="L76" s="20" t="n">
        <v>0.45929879</v>
      </c>
      <c r="M76" s="18" t="n">
        <v>2.29222081</v>
      </c>
      <c r="N76" s="20" t="n">
        <v>0.60890738</v>
      </c>
      <c r="O76" s="18" t="s">
        <v>349</v>
      </c>
      <c r="P76" s="20" t="s">
        <v>349</v>
      </c>
      <c r="Q76" s="18" t="n">
        <v>2.8981997</v>
      </c>
      <c r="R76" s="20" t="n">
        <v>0.7508159</v>
      </c>
      <c r="S76" s="18" t="n">
        <v>0.18989905</v>
      </c>
      <c r="T76" s="20" t="n">
        <v>0.11885082</v>
      </c>
      <c r="U76" s="18" t="n">
        <v>0</v>
      </c>
      <c r="V76" s="20" t="n">
        <v>0</v>
      </c>
      <c r="W76" s="18" t="n">
        <v>12.56211124</v>
      </c>
      <c r="X76" s="20" t="n">
        <v>1.47154518</v>
      </c>
    </row>
    <row r="77" spans="1:24">
      <c r="A77" s="15" t="s">
        <v>419</v>
      </c>
      <c r="B77" s="17" t="n">
        <v>2908</v>
      </c>
      <c r="C77" s="18">
        <f>(2585.0/B77*100)</f>
        <v/>
      </c>
      <c r="D77" s="19" t="n">
        <v>323</v>
      </c>
      <c r="E77" s="18" t="n">
        <v>34.23122833</v>
      </c>
      <c r="F77" s="20" t="n">
        <v>3.04765246</v>
      </c>
      <c r="G77" s="18" t="n">
        <v>18.08518933</v>
      </c>
      <c r="H77" s="20" t="n">
        <v>2.31668785</v>
      </c>
      <c r="I77" s="18" t="n">
        <v>1.03606792</v>
      </c>
      <c r="J77" s="20" t="n">
        <v>0.64693879</v>
      </c>
      <c r="K77" s="18" t="n">
        <v>4.4895223</v>
      </c>
      <c r="L77" s="20" t="n">
        <v>0.86191218</v>
      </c>
      <c r="M77" s="18" t="n">
        <v>0.89278901</v>
      </c>
      <c r="N77" s="20" t="n">
        <v>0.5313582</v>
      </c>
      <c r="O77" s="18" t="s">
        <v>349</v>
      </c>
      <c r="P77" s="20" t="s">
        <v>349</v>
      </c>
      <c r="Q77" s="18" t="n">
        <v>5.71246121</v>
      </c>
      <c r="R77" s="20" t="n">
        <v>1.40889847</v>
      </c>
      <c r="S77" s="18" t="n">
        <v>6.59055732</v>
      </c>
      <c r="T77" s="20" t="n">
        <v>1.64469526</v>
      </c>
      <c r="U77" s="18" t="n">
        <v>0</v>
      </c>
      <c r="V77" s="20" t="n">
        <v>0</v>
      </c>
      <c r="W77" s="18" t="n">
        <v>28.96218458</v>
      </c>
      <c r="X77" s="20" t="n">
        <v>2.65292155</v>
      </c>
    </row>
    <row r="78" spans="1:24">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4163</v>
      </c>
      <c r="C81" s="18">
        <f>(3658.0/B81*100)</f>
        <v/>
      </c>
      <c r="D81" s="19" t="n">
        <v>505</v>
      </c>
      <c r="E81" s="18" t="n">
        <v>47.46544094</v>
      </c>
      <c r="F81" s="20" t="n">
        <v>3.03534063</v>
      </c>
      <c r="G81" s="18" t="n">
        <v>40.4387557</v>
      </c>
      <c r="H81" s="20" t="n">
        <v>3.01862435</v>
      </c>
      <c r="I81" s="18" t="n">
        <v>0.01082907</v>
      </c>
      <c r="J81" s="20" t="n">
        <v>0.01078756</v>
      </c>
      <c r="K81" s="18" t="n">
        <v>0.6873114299999999</v>
      </c>
      <c r="L81" s="20" t="n">
        <v>0.46681096</v>
      </c>
      <c r="M81" s="18" t="n">
        <v>0.9807534999999999</v>
      </c>
      <c r="N81" s="20" t="n">
        <v>0.55220229</v>
      </c>
      <c r="O81" s="18" t="s">
        <v>349</v>
      </c>
      <c r="P81" s="20" t="s">
        <v>349</v>
      </c>
      <c r="Q81" s="18" t="n">
        <v>1.0601917</v>
      </c>
      <c r="R81" s="20" t="n">
        <v>0.57014038</v>
      </c>
      <c r="S81" s="18" t="n">
        <v>0</v>
      </c>
      <c r="T81" s="20" t="n">
        <v>0</v>
      </c>
      <c r="U81" s="18" t="n">
        <v>0</v>
      </c>
      <c r="V81" s="20" t="n">
        <v>0</v>
      </c>
      <c r="W81" s="18" t="n">
        <v>9.356717659999999</v>
      </c>
      <c r="X81" s="20" t="n">
        <v>1.44767399</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(6475.0/B7*100)</f>
        <v/>
      </c>
      <c r="D7" s="19" t="n">
        <v>892</v>
      </c>
      <c r="E7" s="18" t="n">
        <v>57.6679303</v>
      </c>
      <c r="F7" s="20" t="n">
        <v>2.04864676</v>
      </c>
      <c r="G7" s="18" t="n">
        <v>38.66259138</v>
      </c>
      <c r="H7" s="20" t="n">
        <v>1.94519569</v>
      </c>
      <c r="I7" s="18" t="s">
        <v>349</v>
      </c>
      <c r="J7" s="20" t="s">
        <v>349</v>
      </c>
      <c r="K7" s="18" t="n">
        <v>3.66947831</v>
      </c>
      <c r="L7" s="20" t="n">
        <v>0.7127248900000001</v>
      </c>
      <c r="M7" s="18" t="n">
        <v>0</v>
      </c>
      <c r="N7" s="20" t="n">
        <v>0</v>
      </c>
      <c r="O7" s="18" t="n">
        <v>0</v>
      </c>
      <c r="P7" s="20" t="n">
        <v>0</v>
      </c>
      <c r="Q7" s="18" t="n">
        <v>0</v>
      </c>
      <c r="R7" s="20" t="n">
        <v>0</v>
      </c>
    </row>
    <row r="8" spans="1:18">
      <c r="A8" s="15" t="s">
        <v>350</v>
      </c>
      <c r="B8" s="17" t="n">
        <v>3564</v>
      </c>
      <c r="C8" s="18">
        <f>(3141.0/B8*100)</f>
        <v/>
      </c>
      <c r="D8" s="19" t="n">
        <v>423</v>
      </c>
      <c r="E8" s="18" t="n">
        <v>55.10552546</v>
      </c>
      <c r="F8" s="20" t="n">
        <v>2.53434446</v>
      </c>
      <c r="G8" s="18" t="n">
        <v>43.04236758</v>
      </c>
      <c r="H8" s="20" t="n">
        <v>2.59193363</v>
      </c>
      <c r="I8" s="18" t="s">
        <v>349</v>
      </c>
      <c r="J8" s="20" t="s">
        <v>349</v>
      </c>
      <c r="K8" s="18" t="n">
        <v>1.85210695</v>
      </c>
      <c r="L8" s="20" t="n">
        <v>0.72825874</v>
      </c>
      <c r="M8" s="18" t="n">
        <v>0</v>
      </c>
      <c r="N8" s="20" t="n">
        <v>0</v>
      </c>
      <c r="O8" s="18" t="n">
        <v>0</v>
      </c>
      <c r="P8" s="20" t="n">
        <v>0</v>
      </c>
      <c r="Q8" s="18" t="n">
        <v>0</v>
      </c>
      <c r="R8" s="20" t="n">
        <v>0</v>
      </c>
    </row>
    <row r="9" spans="1:18">
      <c r="A9" s="15" t="s">
        <v>351</v>
      </c>
      <c r="B9" s="17" t="n">
        <v>4899</v>
      </c>
      <c r="C9" s="18">
        <f>(4353.0/B9*100)</f>
        <v/>
      </c>
      <c r="D9" s="19" t="n">
        <v>546</v>
      </c>
      <c r="E9" s="18" t="n">
        <v>52.58882016</v>
      </c>
      <c r="F9" s="20" t="n">
        <v>2.03332228</v>
      </c>
      <c r="G9" s="18" t="n">
        <v>45.46795996</v>
      </c>
      <c r="H9" s="20" t="n">
        <v>2.02600827</v>
      </c>
      <c r="I9" s="18" t="s">
        <v>349</v>
      </c>
      <c r="J9" s="20" t="s">
        <v>349</v>
      </c>
      <c r="K9" s="18" t="n">
        <v>1.94321988</v>
      </c>
      <c r="L9" s="20" t="n">
        <v>0.47292364</v>
      </c>
      <c r="M9" s="18" t="n">
        <v>0</v>
      </c>
      <c r="N9" s="20" t="n">
        <v>0</v>
      </c>
      <c r="O9" s="18" t="n">
        <v>0</v>
      </c>
      <c r="P9" s="20" t="n">
        <v>0</v>
      </c>
      <c r="Q9" s="18" t="n">
        <v>0</v>
      </c>
      <c r="R9" s="20" t="n">
        <v>0</v>
      </c>
    </row>
    <row r="10" spans="1:18">
      <c r="A10" s="15" t="s">
        <v>352</v>
      </c>
      <c r="B10" s="17" t="n">
        <v>10036</v>
      </c>
      <c r="C10" s="18">
        <f>(8824.0/B10*100)</f>
        <v/>
      </c>
      <c r="D10" s="19" t="n">
        <v>1212</v>
      </c>
      <c r="E10" s="18" t="n">
        <v>54.09449232</v>
      </c>
      <c r="F10" s="20" t="n">
        <v>1.83645133</v>
      </c>
      <c r="G10" s="18" t="n">
        <v>42.70086553</v>
      </c>
      <c r="H10" s="20" t="n">
        <v>1.83058791</v>
      </c>
      <c r="I10" s="18" t="s">
        <v>349</v>
      </c>
      <c r="J10" s="20" t="s">
        <v>349</v>
      </c>
      <c r="K10" s="18" t="n">
        <v>3.20464216</v>
      </c>
      <c r="L10" s="20" t="n">
        <v>0.69439894</v>
      </c>
      <c r="M10" s="18" t="n">
        <v>0</v>
      </c>
      <c r="N10" s="20" t="n">
        <v>0</v>
      </c>
      <c r="O10" s="18" t="n">
        <v>0</v>
      </c>
      <c r="P10" s="20" t="n">
        <v>0</v>
      </c>
      <c r="Q10" s="18" t="n">
        <v>0</v>
      </c>
      <c r="R10" s="20" t="n">
        <v>0</v>
      </c>
    </row>
    <row r="11" spans="1:18">
      <c r="A11" s="15" t="s">
        <v>353</v>
      </c>
      <c r="B11" s="17" t="n">
        <v>3553</v>
      </c>
      <c r="C11" s="18">
        <f>(3138.0/B11*100)</f>
        <v/>
      </c>
      <c r="D11" s="19" t="n">
        <v>415</v>
      </c>
      <c r="E11" s="18" t="n">
        <v>67.78486134000001</v>
      </c>
      <c r="F11" s="20" t="n">
        <v>2.30165065</v>
      </c>
      <c r="G11" s="18" t="n">
        <v>22.48702147</v>
      </c>
      <c r="H11" s="20" t="n">
        <v>2.2917873</v>
      </c>
      <c r="I11" s="18" t="s">
        <v>349</v>
      </c>
      <c r="J11" s="20" t="s">
        <v>349</v>
      </c>
      <c r="K11" s="18" t="n">
        <v>9.728117190000001</v>
      </c>
      <c r="L11" s="20" t="n">
        <v>1.78503561</v>
      </c>
      <c r="M11" s="18" t="n">
        <v>0</v>
      </c>
      <c r="N11" s="20" t="n">
        <v>0</v>
      </c>
      <c r="O11" s="18" t="n">
        <v>0</v>
      </c>
      <c r="P11" s="20" t="n">
        <v>0</v>
      </c>
      <c r="Q11" s="18" t="n">
        <v>0</v>
      </c>
      <c r="R11" s="20" t="n">
        <v>0</v>
      </c>
    </row>
    <row r="12" spans="1:18">
      <c r="A12" s="15" t="s">
        <v>354</v>
      </c>
      <c r="B12" s="17" t="n">
        <v>3472</v>
      </c>
      <c r="C12" s="18">
        <f>(3077.0/B12*100)</f>
        <v/>
      </c>
      <c r="D12" s="19" t="n">
        <v>395</v>
      </c>
      <c r="E12" s="18" t="n">
        <v>52.75741527</v>
      </c>
      <c r="F12" s="20" t="n">
        <v>3.09815007</v>
      </c>
      <c r="G12" s="18" t="n">
        <v>42.36703173</v>
      </c>
      <c r="H12" s="20" t="n">
        <v>2.8900617</v>
      </c>
      <c r="I12" s="18" t="s">
        <v>349</v>
      </c>
      <c r="J12" s="20" t="s">
        <v>349</v>
      </c>
      <c r="K12" s="18" t="n">
        <v>4.875553</v>
      </c>
      <c r="L12" s="20" t="n">
        <v>1.12225801</v>
      </c>
      <c r="M12" s="18" t="n">
        <v>0</v>
      </c>
      <c r="N12" s="20" t="n">
        <v>0</v>
      </c>
      <c r="O12" s="18" t="n">
        <v>0</v>
      </c>
      <c r="P12" s="20" t="n">
        <v>0</v>
      </c>
      <c r="Q12" s="18" t="n">
        <v>0</v>
      </c>
      <c r="R12" s="20" t="n">
        <v>0</v>
      </c>
    </row>
    <row r="13" spans="1:18">
      <c r="A13" s="15" t="s">
        <v>355</v>
      </c>
      <c r="B13" s="17" t="n">
        <v>3559</v>
      </c>
      <c r="C13" s="18">
        <f>(3143.0/B13*100)</f>
        <v/>
      </c>
      <c r="D13" s="19" t="n">
        <v>416</v>
      </c>
      <c r="E13" s="18" t="n">
        <v>53.47611047</v>
      </c>
      <c r="F13" s="20" t="n">
        <v>2.93477903</v>
      </c>
      <c r="G13" s="18" t="n">
        <v>42.86368883</v>
      </c>
      <c r="H13" s="20" t="n">
        <v>2.92535988</v>
      </c>
      <c r="I13" s="18" t="s">
        <v>349</v>
      </c>
      <c r="J13" s="20" t="s">
        <v>349</v>
      </c>
      <c r="K13" s="18" t="n">
        <v>3.66020071</v>
      </c>
      <c r="L13" s="20" t="n">
        <v>1.07936869</v>
      </c>
      <c r="M13" s="18" t="n">
        <v>0</v>
      </c>
      <c r="N13" s="20" t="n">
        <v>0</v>
      </c>
      <c r="O13" s="18" t="n">
        <v>0</v>
      </c>
      <c r="P13" s="20" t="n">
        <v>0</v>
      </c>
      <c r="Q13" s="18" t="n">
        <v>0</v>
      </c>
      <c r="R13" s="20" t="n">
        <v>0</v>
      </c>
    </row>
    <row r="14" spans="1:18">
      <c r="A14" s="15" t="s">
        <v>356</v>
      </c>
      <c r="B14" s="17" t="n">
        <v>2799</v>
      </c>
      <c r="C14" s="18">
        <f>(2457.0/B14*100)</f>
        <v/>
      </c>
      <c r="D14" s="19" t="n">
        <v>342</v>
      </c>
      <c r="E14" s="18" t="n">
        <v>48.70841277</v>
      </c>
      <c r="F14" s="20" t="n">
        <v>2.79338736</v>
      </c>
      <c r="G14" s="18" t="n">
        <v>50.07988468</v>
      </c>
      <c r="H14" s="20" t="n">
        <v>2.65793456</v>
      </c>
      <c r="I14" s="18" t="s">
        <v>349</v>
      </c>
      <c r="J14" s="20" t="s">
        <v>349</v>
      </c>
      <c r="K14" s="18" t="n">
        <v>1.21170254</v>
      </c>
      <c r="L14" s="20" t="n">
        <v>0.54160189</v>
      </c>
      <c r="M14" s="18" t="n">
        <v>0</v>
      </c>
      <c r="N14" s="20" t="n">
        <v>0</v>
      </c>
      <c r="O14" s="18" t="n">
        <v>0</v>
      </c>
      <c r="P14" s="20" t="n">
        <v>0</v>
      </c>
      <c r="Q14" s="18" t="n">
        <v>0</v>
      </c>
      <c r="R14" s="20" t="n">
        <v>0</v>
      </c>
    </row>
    <row r="15" spans="1:18">
      <c r="A15" s="15" t="s">
        <v>357</v>
      </c>
      <c r="B15" s="17" t="n">
        <v>3019</v>
      </c>
      <c r="C15" s="18">
        <f>(2669.0/B15*100)</f>
        <v/>
      </c>
      <c r="D15" s="19" t="n">
        <v>350</v>
      </c>
      <c r="E15" s="18" t="n">
        <v>49.49413896</v>
      </c>
      <c r="F15" s="20" t="n">
        <v>2.53214243</v>
      </c>
      <c r="G15" s="18" t="n">
        <v>49.0840167</v>
      </c>
      <c r="H15" s="20" t="n">
        <v>2.55323819</v>
      </c>
      <c r="I15" s="18" t="s">
        <v>349</v>
      </c>
      <c r="J15" s="20" t="s">
        <v>349</v>
      </c>
      <c r="K15" s="18" t="n">
        <v>1.42184435</v>
      </c>
      <c r="L15" s="20" t="n">
        <v>0.6395314</v>
      </c>
      <c r="M15" s="18" t="n">
        <v>0</v>
      </c>
      <c r="N15" s="20" t="n">
        <v>0</v>
      </c>
      <c r="O15" s="18" t="n">
        <v>0</v>
      </c>
      <c r="P15" s="20" t="n">
        <v>0</v>
      </c>
      <c r="Q15" s="18" t="n">
        <v>0</v>
      </c>
      <c r="R15" s="20" t="n">
        <v>0</v>
      </c>
    </row>
    <row r="16" spans="1:18">
      <c r="A16" s="15" t="s">
        <v>358</v>
      </c>
      <c r="B16" s="17" t="n">
        <v>2997</v>
      </c>
      <c r="C16" s="18">
        <f>(2622.0/B16*100)</f>
        <v/>
      </c>
      <c r="D16" s="19" t="n">
        <v>375</v>
      </c>
      <c r="E16" s="18" t="n">
        <v>55.29124956</v>
      </c>
      <c r="F16" s="20" t="n">
        <v>2.39771207</v>
      </c>
      <c r="G16" s="18" t="n">
        <v>38.51606665</v>
      </c>
      <c r="H16" s="20" t="n">
        <v>2.50739542</v>
      </c>
      <c r="I16" s="18" t="s">
        <v>349</v>
      </c>
      <c r="J16" s="20" t="s">
        <v>349</v>
      </c>
      <c r="K16" s="18" t="n">
        <v>6.19268378</v>
      </c>
      <c r="L16" s="20" t="n">
        <v>1.295056</v>
      </c>
      <c r="M16" s="18" t="n">
        <v>0</v>
      </c>
      <c r="N16" s="20" t="n">
        <v>0</v>
      </c>
      <c r="O16" s="18" t="n">
        <v>0</v>
      </c>
      <c r="P16" s="20" t="n">
        <v>0</v>
      </c>
      <c r="Q16" s="18" t="n">
        <v>0</v>
      </c>
      <c r="R16" s="20" t="n">
        <v>0</v>
      </c>
    </row>
    <row r="17" spans="1:18">
      <c r="A17" s="15" t="s">
        <v>359</v>
      </c>
      <c r="B17" s="17" t="n">
        <v>3307</v>
      </c>
      <c r="C17" s="18">
        <f>(2922.0/B17*100)</f>
        <v/>
      </c>
      <c r="D17" s="19" t="n">
        <v>385</v>
      </c>
      <c r="E17" s="18" t="n">
        <v>47.66027772</v>
      </c>
      <c r="F17" s="20" t="n">
        <v>2.48599214</v>
      </c>
      <c r="G17" s="18" t="n">
        <v>48.88229894</v>
      </c>
      <c r="H17" s="20" t="n">
        <v>2.49038697</v>
      </c>
      <c r="I17" s="18" t="s">
        <v>349</v>
      </c>
      <c r="J17" s="20" t="s">
        <v>349</v>
      </c>
      <c r="K17" s="18" t="n">
        <v>3.45742334</v>
      </c>
      <c r="L17" s="20" t="n">
        <v>0.83711141</v>
      </c>
      <c r="M17" s="18" t="n">
        <v>0</v>
      </c>
      <c r="N17" s="20" t="n">
        <v>0</v>
      </c>
      <c r="O17" s="18" t="n">
        <v>0</v>
      </c>
      <c r="P17" s="20" t="n">
        <v>0</v>
      </c>
      <c r="Q17" s="18" t="n">
        <v>0</v>
      </c>
      <c r="R17" s="20" t="n">
        <v>0</v>
      </c>
    </row>
    <row r="18" spans="1:18">
      <c r="A18" s="15" t="s">
        <v>360</v>
      </c>
      <c r="B18" s="17" t="n">
        <v>2826</v>
      </c>
      <c r="C18" s="18">
        <f>(2481.0/B18*100)</f>
        <v/>
      </c>
      <c r="D18" s="19" t="n">
        <v>345</v>
      </c>
      <c r="E18" s="18" t="n">
        <v>74.32175094999999</v>
      </c>
      <c r="F18" s="20" t="n">
        <v>2.28524233</v>
      </c>
      <c r="G18" s="18" t="n">
        <v>20.49901177</v>
      </c>
      <c r="H18" s="20" t="n">
        <v>2.00013668</v>
      </c>
      <c r="I18" s="18" t="s">
        <v>349</v>
      </c>
      <c r="J18" s="20" t="s">
        <v>349</v>
      </c>
      <c r="K18" s="18" t="n">
        <v>5.17923728</v>
      </c>
      <c r="L18" s="20" t="n">
        <v>1.10616617</v>
      </c>
      <c r="M18" s="18" t="n">
        <v>0</v>
      </c>
      <c r="N18" s="20" t="n">
        <v>0</v>
      </c>
      <c r="O18" s="18" t="n">
        <v>0</v>
      </c>
      <c r="P18" s="20" t="n">
        <v>0</v>
      </c>
      <c r="Q18" s="18" t="n">
        <v>0</v>
      </c>
      <c r="R18" s="20" t="n">
        <v>0</v>
      </c>
    </row>
    <row r="19" spans="1:18">
      <c r="A19" s="15" t="s">
        <v>361</v>
      </c>
      <c r="B19" s="17" t="n">
        <v>2808</v>
      </c>
      <c r="C19" s="18">
        <f>(2490.0/B19*100)</f>
        <v/>
      </c>
      <c r="D19" s="19" t="n">
        <v>318</v>
      </c>
      <c r="E19" s="18" t="n">
        <v>65.59779136</v>
      </c>
      <c r="F19" s="20" t="n">
        <v>3.07866523</v>
      </c>
      <c r="G19" s="18" t="n">
        <v>30.33330109</v>
      </c>
      <c r="H19" s="20" t="n">
        <v>2.69244282</v>
      </c>
      <c r="I19" s="18" t="s">
        <v>349</v>
      </c>
      <c r="J19" s="20" t="s">
        <v>349</v>
      </c>
      <c r="K19" s="18" t="n">
        <v>4.06890755</v>
      </c>
      <c r="L19" s="20" t="n">
        <v>1.43103343</v>
      </c>
      <c r="M19" s="18" t="n">
        <v>0</v>
      </c>
      <c r="N19" s="20" t="n">
        <v>0</v>
      </c>
      <c r="O19" s="18" t="n">
        <v>0</v>
      </c>
      <c r="P19" s="20" t="n">
        <v>0</v>
      </c>
      <c r="Q19" s="18" t="n">
        <v>0</v>
      </c>
      <c r="R19" s="20" t="n">
        <v>0</v>
      </c>
    </row>
    <row r="20" spans="1:18">
      <c r="A20" s="15" t="s">
        <v>362</v>
      </c>
      <c r="B20" s="17" t="n">
        <v>1630</v>
      </c>
      <c r="C20" s="18">
        <f>(1429.0/B20*100)</f>
        <v/>
      </c>
      <c r="D20" s="19" t="n">
        <v>201</v>
      </c>
      <c r="E20" s="18" t="n">
        <v>56.69998231</v>
      </c>
      <c r="F20" s="20" t="n">
        <v>3.4577421</v>
      </c>
      <c r="G20" s="18" t="n">
        <v>39.93454125</v>
      </c>
      <c r="H20" s="20" t="n">
        <v>3.28417144</v>
      </c>
      <c r="I20" s="18" t="s">
        <v>349</v>
      </c>
      <c r="J20" s="20" t="s">
        <v>349</v>
      </c>
      <c r="K20" s="18" t="n">
        <v>3.36547644</v>
      </c>
      <c r="L20" s="20" t="n">
        <v>1.46577338</v>
      </c>
      <c r="M20" s="18" t="n">
        <v>0</v>
      </c>
      <c r="N20" s="20" t="n">
        <v>0</v>
      </c>
      <c r="O20" s="18" t="n">
        <v>0</v>
      </c>
      <c r="P20" s="20" t="n">
        <v>0</v>
      </c>
      <c r="Q20" s="18" t="n">
        <v>0</v>
      </c>
      <c r="R20" s="20" t="n">
        <v>0</v>
      </c>
    </row>
    <row r="21" spans="1:18">
      <c r="A21" s="15" t="s">
        <v>363</v>
      </c>
      <c r="B21" s="17" t="n">
        <v>2908</v>
      </c>
      <c r="C21" s="18">
        <f>(2443.0/B21*100)</f>
        <v/>
      </c>
      <c r="D21" s="19" t="n">
        <v>465</v>
      </c>
      <c r="E21" s="18" t="n">
        <v>57.23220007</v>
      </c>
      <c r="F21" s="20" t="n">
        <v>2.63416976</v>
      </c>
      <c r="G21" s="18" t="n">
        <v>39.77072755</v>
      </c>
      <c r="H21" s="20" t="n">
        <v>2.53352705</v>
      </c>
      <c r="I21" s="18" t="s">
        <v>349</v>
      </c>
      <c r="J21" s="20" t="s">
        <v>349</v>
      </c>
      <c r="K21" s="18" t="n">
        <v>2.99707238</v>
      </c>
      <c r="L21" s="20" t="n">
        <v>0.81486591</v>
      </c>
      <c r="M21" s="18" t="n">
        <v>0</v>
      </c>
      <c r="N21" s="20" t="n">
        <v>0</v>
      </c>
      <c r="O21" s="18" t="n">
        <v>0</v>
      </c>
      <c r="P21" s="20" t="n">
        <v>0</v>
      </c>
      <c r="Q21" s="18" t="n">
        <v>0</v>
      </c>
      <c r="R21" s="20" t="n">
        <v>0</v>
      </c>
    </row>
    <row r="22" spans="1:18">
      <c r="A22" s="15" t="s">
        <v>364</v>
      </c>
      <c r="B22" s="17" t="n">
        <v>2931</v>
      </c>
      <c r="C22" s="18">
        <f>(2590.0/B22*100)</f>
        <v/>
      </c>
      <c r="D22" s="19" t="n">
        <v>341</v>
      </c>
      <c r="E22" s="18" t="n">
        <v>62.89483005</v>
      </c>
      <c r="F22" s="20" t="n">
        <v>2.9127708</v>
      </c>
      <c r="G22" s="18" t="n">
        <v>30.18423567</v>
      </c>
      <c r="H22" s="20" t="n">
        <v>2.74705318</v>
      </c>
      <c r="I22" s="18" t="s">
        <v>349</v>
      </c>
      <c r="J22" s="20" t="s">
        <v>349</v>
      </c>
      <c r="K22" s="18" t="n">
        <v>6.92093428</v>
      </c>
      <c r="L22" s="20" t="n">
        <v>1.34167273</v>
      </c>
      <c r="M22" s="18" t="n">
        <v>0</v>
      </c>
      <c r="N22" s="20" t="n">
        <v>0</v>
      </c>
      <c r="O22" s="18" t="n">
        <v>0</v>
      </c>
      <c r="P22" s="20" t="n">
        <v>0</v>
      </c>
      <c r="Q22" s="18" t="n">
        <v>0</v>
      </c>
      <c r="R22" s="20" t="n">
        <v>0</v>
      </c>
    </row>
    <row r="23" spans="1:18">
      <c r="A23" s="15" t="s">
        <v>365</v>
      </c>
      <c r="B23" s="17" t="n">
        <v>5791</v>
      </c>
      <c r="C23" s="18">
        <f>(5114.0/B23*100)</f>
        <v/>
      </c>
      <c r="D23" s="19" t="n">
        <v>677</v>
      </c>
      <c r="E23" s="18" t="n">
        <v>60.33067388</v>
      </c>
      <c r="F23" s="20" t="n">
        <v>2.86934485</v>
      </c>
      <c r="G23" s="18" t="n">
        <v>35.91818155</v>
      </c>
      <c r="H23" s="20" t="n">
        <v>2.72974794</v>
      </c>
      <c r="I23" s="18" t="s">
        <v>349</v>
      </c>
      <c r="J23" s="20" t="s">
        <v>349</v>
      </c>
      <c r="K23" s="18" t="n">
        <v>3.75114457</v>
      </c>
      <c r="L23" s="20" t="n">
        <v>1.46288853</v>
      </c>
      <c r="M23" s="18" t="n">
        <v>0</v>
      </c>
      <c r="N23" s="20" t="n">
        <v>0</v>
      </c>
      <c r="O23" s="18" t="n">
        <v>0</v>
      </c>
      <c r="P23" s="20" t="n">
        <v>0</v>
      </c>
      <c r="Q23" s="18" t="n">
        <v>0</v>
      </c>
      <c r="R23" s="20" t="n">
        <v>0</v>
      </c>
    </row>
    <row r="24" spans="1:18">
      <c r="A24" s="15" t="s">
        <v>366</v>
      </c>
      <c r="B24" s="17" t="n">
        <v>3338</v>
      </c>
      <c r="C24" s="18">
        <f>(2938.0/B24*100)</f>
        <v/>
      </c>
      <c r="D24" s="19" t="n">
        <v>400</v>
      </c>
      <c r="E24" s="18" t="n">
        <v>42.38407883</v>
      </c>
      <c r="F24" s="20" t="n">
        <v>2.70329372</v>
      </c>
      <c r="G24" s="18" t="n">
        <v>55.22601544</v>
      </c>
      <c r="H24" s="20" t="n">
        <v>2.6337298</v>
      </c>
      <c r="I24" s="18" t="s">
        <v>349</v>
      </c>
      <c r="J24" s="20" t="s">
        <v>349</v>
      </c>
      <c r="K24" s="18" t="n">
        <v>2.38990574</v>
      </c>
      <c r="L24" s="20" t="n">
        <v>0.63405861</v>
      </c>
      <c r="M24" s="18" t="n">
        <v>0</v>
      </c>
      <c r="N24" s="20" t="n">
        <v>0</v>
      </c>
      <c r="O24" s="18" t="n">
        <v>0</v>
      </c>
      <c r="P24" s="20" t="n">
        <v>0</v>
      </c>
      <c r="Q24" s="18" t="n">
        <v>0</v>
      </c>
      <c r="R24" s="20" t="n">
        <v>0</v>
      </c>
    </row>
    <row r="25" spans="1:18">
      <c r="A25" s="15" t="s">
        <v>367</v>
      </c>
      <c r="B25" s="17" t="n">
        <v>2912</v>
      </c>
      <c r="C25" s="18">
        <f>(2547.0/B25*100)</f>
        <v/>
      </c>
      <c r="D25" s="19" t="n">
        <v>365</v>
      </c>
      <c r="E25" s="18" t="n">
        <v>55.54899905</v>
      </c>
      <c r="F25" s="20" t="n">
        <v>2.6217949</v>
      </c>
      <c r="G25" s="18" t="n">
        <v>40.88087798</v>
      </c>
      <c r="H25" s="20" t="n">
        <v>2.6456313</v>
      </c>
      <c r="I25" s="18" t="s">
        <v>349</v>
      </c>
      <c r="J25" s="20" t="s">
        <v>349</v>
      </c>
      <c r="K25" s="18" t="n">
        <v>3.57012297</v>
      </c>
      <c r="L25" s="20" t="n">
        <v>0.97288914</v>
      </c>
      <c r="M25" s="18" t="n">
        <v>0</v>
      </c>
      <c r="N25" s="20" t="n">
        <v>0</v>
      </c>
      <c r="O25" s="18" t="n">
        <v>0</v>
      </c>
      <c r="P25" s="20" t="n">
        <v>0</v>
      </c>
      <c r="Q25" s="18" t="n">
        <v>0</v>
      </c>
      <c r="R25" s="20" t="n">
        <v>0</v>
      </c>
    </row>
    <row r="26" spans="1:18">
      <c r="A26" s="15" t="s">
        <v>368</v>
      </c>
      <c r="B26" s="17" t="n">
        <v>2450</v>
      </c>
      <c r="C26" s="18">
        <f>(2168.0/B26*100)</f>
        <v/>
      </c>
      <c r="D26" s="19" t="n">
        <v>282</v>
      </c>
      <c r="E26" s="18" t="n">
        <v>61.34918172</v>
      </c>
      <c r="F26" s="20" t="n">
        <v>3.2960549</v>
      </c>
      <c r="G26" s="18" t="n">
        <v>37.73619263</v>
      </c>
      <c r="H26" s="20" t="n">
        <v>3.16716325</v>
      </c>
      <c r="I26" s="18" t="s">
        <v>349</v>
      </c>
      <c r="J26" s="20" t="s">
        <v>349</v>
      </c>
      <c r="K26" s="18" t="n">
        <v>0.91462566</v>
      </c>
      <c r="L26" s="20" t="n">
        <v>0.51427135</v>
      </c>
      <c r="M26" s="18" t="n">
        <v>0</v>
      </c>
      <c r="N26" s="20" t="n">
        <v>0</v>
      </c>
      <c r="O26" s="18" t="n">
        <v>0</v>
      </c>
      <c r="P26" s="20" t="n">
        <v>0</v>
      </c>
      <c r="Q26" s="18" t="n">
        <v>0</v>
      </c>
      <c r="R26" s="20" t="n">
        <v>0</v>
      </c>
    </row>
    <row r="27" spans="1:18">
      <c r="A27" s="15" t="s">
        <v>369</v>
      </c>
      <c r="B27" s="17" t="n">
        <v>2616</v>
      </c>
      <c r="C27" s="18">
        <f>(2311.0/B27*100)</f>
        <v/>
      </c>
      <c r="D27" s="19" t="n">
        <v>305</v>
      </c>
      <c r="E27" s="18" t="n">
        <v>58.36327304</v>
      </c>
      <c r="F27" s="20" t="n">
        <v>2.44296095</v>
      </c>
      <c r="G27" s="18" t="n">
        <v>38.02063144</v>
      </c>
      <c r="H27" s="20" t="n">
        <v>2.47093277</v>
      </c>
      <c r="I27" s="18" t="s">
        <v>349</v>
      </c>
      <c r="J27" s="20" t="s">
        <v>349</v>
      </c>
      <c r="K27" s="18" t="n">
        <v>3.61609552</v>
      </c>
      <c r="L27" s="20" t="n">
        <v>1.05587712</v>
      </c>
      <c r="M27" s="18" t="n">
        <v>0</v>
      </c>
      <c r="N27" s="20" t="n">
        <v>0</v>
      </c>
      <c r="O27" s="18" t="n">
        <v>0</v>
      </c>
      <c r="P27" s="20" t="n">
        <v>0</v>
      </c>
      <c r="Q27" s="18" t="n">
        <v>0</v>
      </c>
      <c r="R27" s="20" t="n">
        <v>0</v>
      </c>
    </row>
    <row r="28" spans="1:18">
      <c r="A28" s="15" t="s">
        <v>370</v>
      </c>
      <c r="B28" s="17" t="n">
        <v>3765</v>
      </c>
      <c r="C28" s="18">
        <f>(3378.0/B28*100)</f>
        <v/>
      </c>
      <c r="D28" s="19" t="n">
        <v>387</v>
      </c>
      <c r="E28" s="18" t="n">
        <v>79.94012051999999</v>
      </c>
      <c r="F28" s="20" t="n">
        <v>1.86826215</v>
      </c>
      <c r="G28" s="18" t="n">
        <v>18.81918572</v>
      </c>
      <c r="H28" s="20" t="n">
        <v>1.8365112</v>
      </c>
      <c r="I28" s="18" t="s">
        <v>349</v>
      </c>
      <c r="J28" s="20" t="s">
        <v>349</v>
      </c>
      <c r="K28" s="18" t="n">
        <v>1.24069375</v>
      </c>
      <c r="L28" s="20" t="n">
        <v>0.49791405</v>
      </c>
      <c r="M28" s="18" t="n">
        <v>0</v>
      </c>
      <c r="N28" s="20" t="n">
        <v>0</v>
      </c>
      <c r="O28" s="18" t="n">
        <v>0</v>
      </c>
      <c r="P28" s="20" t="n">
        <v>0</v>
      </c>
      <c r="Q28" s="18" t="n">
        <v>0</v>
      </c>
      <c r="R28" s="20" t="n">
        <v>0</v>
      </c>
    </row>
    <row r="29" spans="1:18">
      <c r="A29" s="15" t="s">
        <v>371</v>
      </c>
      <c r="B29" s="17" t="n">
        <v>2685</v>
      </c>
      <c r="C29" s="18">
        <f>(2355.0/B29*100)</f>
        <v/>
      </c>
      <c r="D29" s="19" t="n">
        <v>330</v>
      </c>
      <c r="E29" s="18" t="n">
        <v>50.2202721</v>
      </c>
      <c r="F29" s="20" t="n">
        <v>2.76720036</v>
      </c>
      <c r="G29" s="18" t="n">
        <v>47.32825645</v>
      </c>
      <c r="H29" s="20" t="n">
        <v>2.69400006</v>
      </c>
      <c r="I29" s="18" t="s">
        <v>349</v>
      </c>
      <c r="J29" s="20" t="s">
        <v>349</v>
      </c>
      <c r="K29" s="18" t="n">
        <v>2.45147145</v>
      </c>
      <c r="L29" s="20" t="n">
        <v>0.94423876</v>
      </c>
      <c r="M29" s="18" t="n">
        <v>0</v>
      </c>
      <c r="N29" s="20" t="n">
        <v>0</v>
      </c>
      <c r="O29" s="18" t="n">
        <v>0</v>
      </c>
      <c r="P29" s="20" t="n">
        <v>0</v>
      </c>
      <c r="Q29" s="18" t="n">
        <v>0</v>
      </c>
      <c r="R29" s="20" t="n">
        <v>0</v>
      </c>
    </row>
    <row r="30" spans="1:18">
      <c r="A30" s="15" t="s">
        <v>372</v>
      </c>
      <c r="B30" s="17" t="n">
        <v>2263</v>
      </c>
      <c r="C30" s="18">
        <f>(1996.0/B30*100)</f>
        <v/>
      </c>
      <c r="D30" s="19" t="n">
        <v>267</v>
      </c>
      <c r="E30" s="18" t="n">
        <v>53.23289339</v>
      </c>
      <c r="F30" s="20" t="n">
        <v>2.56268697</v>
      </c>
      <c r="G30" s="18" t="n">
        <v>43.1220035</v>
      </c>
      <c r="H30" s="20" t="n">
        <v>2.65114041</v>
      </c>
      <c r="I30" s="18" t="s">
        <v>349</v>
      </c>
      <c r="J30" s="20" t="s">
        <v>349</v>
      </c>
      <c r="K30" s="18" t="n">
        <v>3.64510311</v>
      </c>
      <c r="L30" s="20" t="n">
        <v>1.12633588</v>
      </c>
      <c r="M30" s="18" t="n">
        <v>0</v>
      </c>
      <c r="N30" s="20" t="n">
        <v>0</v>
      </c>
      <c r="O30" s="18" t="n">
        <v>0</v>
      </c>
      <c r="P30" s="20" t="n">
        <v>0</v>
      </c>
      <c r="Q30" s="18" t="n">
        <v>0</v>
      </c>
      <c r="R30" s="20" t="n">
        <v>0</v>
      </c>
    </row>
    <row r="31" spans="1:18">
      <c r="A31" s="15" t="s">
        <v>373</v>
      </c>
      <c r="B31" s="17" t="n">
        <v>2750</v>
      </c>
      <c r="C31" s="18">
        <f>(2399.0/B31*100)</f>
        <v/>
      </c>
      <c r="D31" s="19" t="n">
        <v>351</v>
      </c>
      <c r="E31" s="18" t="n">
        <v>57.13238541</v>
      </c>
      <c r="F31" s="20" t="n">
        <v>2.88913792</v>
      </c>
      <c r="G31" s="18" t="n">
        <v>37.72961129</v>
      </c>
      <c r="H31" s="20" t="n">
        <v>2.85433091</v>
      </c>
      <c r="I31" s="18" t="s">
        <v>349</v>
      </c>
      <c r="J31" s="20" t="s">
        <v>349</v>
      </c>
      <c r="K31" s="18" t="n">
        <v>5.13800329</v>
      </c>
      <c r="L31" s="20" t="n">
        <v>1.1586441</v>
      </c>
      <c r="M31" s="18" t="n">
        <v>0</v>
      </c>
      <c r="N31" s="20" t="n">
        <v>0</v>
      </c>
      <c r="O31" s="18" t="n">
        <v>0</v>
      </c>
      <c r="P31" s="20" t="n">
        <v>0</v>
      </c>
      <c r="Q31" s="18" t="n">
        <v>0</v>
      </c>
      <c r="R31" s="20" t="n">
        <v>0</v>
      </c>
    </row>
    <row r="32" spans="1:18">
      <c r="A32" s="15" t="s">
        <v>374</v>
      </c>
      <c r="B32" s="17" t="n">
        <v>2269</v>
      </c>
      <c r="C32" s="18">
        <f>(1908.0/B32*100)</f>
        <v/>
      </c>
      <c r="D32" s="19" t="n">
        <v>361</v>
      </c>
      <c r="E32" s="18" t="n">
        <v>58.08585094</v>
      </c>
      <c r="F32" s="20" t="n">
        <v>2.63751955</v>
      </c>
      <c r="G32" s="18" t="n">
        <v>40.31905757</v>
      </c>
      <c r="H32" s="20" t="n">
        <v>2.6511254</v>
      </c>
      <c r="I32" s="18" t="s">
        <v>349</v>
      </c>
      <c r="J32" s="20" t="s">
        <v>349</v>
      </c>
      <c r="K32" s="18" t="n">
        <v>1.5950915</v>
      </c>
      <c r="L32" s="20" t="n">
        <v>0.64157944</v>
      </c>
      <c r="M32" s="18" t="n">
        <v>0</v>
      </c>
      <c r="N32" s="20" t="n">
        <v>0</v>
      </c>
      <c r="O32" s="18" t="n">
        <v>0</v>
      </c>
      <c r="P32" s="20" t="n">
        <v>0</v>
      </c>
      <c r="Q32" s="18" t="n">
        <v>0</v>
      </c>
      <c r="R32" s="20" t="n">
        <v>0</v>
      </c>
    </row>
    <row r="33" spans="1:18">
      <c r="A33" s="15" t="s">
        <v>375</v>
      </c>
      <c r="B33" s="17" t="n">
        <v>3674</v>
      </c>
      <c r="C33" s="18">
        <f>(3228.0/B33*100)</f>
        <v/>
      </c>
      <c r="D33" s="19" t="n">
        <v>446</v>
      </c>
      <c r="E33" s="18" t="n">
        <v>63.69954207</v>
      </c>
      <c r="F33" s="20" t="n">
        <v>2.88618589</v>
      </c>
      <c r="G33" s="18" t="n">
        <v>31.51815872</v>
      </c>
      <c r="H33" s="20" t="n">
        <v>2.67609767</v>
      </c>
      <c r="I33" s="18" t="s">
        <v>349</v>
      </c>
      <c r="J33" s="20" t="s">
        <v>349</v>
      </c>
      <c r="K33" s="18" t="n">
        <v>4.78229921</v>
      </c>
      <c r="L33" s="20" t="n">
        <v>1.4612363</v>
      </c>
      <c r="M33" s="18" t="n">
        <v>0</v>
      </c>
      <c r="N33" s="20" t="n">
        <v>0</v>
      </c>
      <c r="O33" s="18" t="n">
        <v>0</v>
      </c>
      <c r="P33" s="20" t="n">
        <v>0</v>
      </c>
      <c r="Q33" s="18" t="n">
        <v>0</v>
      </c>
      <c r="R33" s="20" t="n">
        <v>0</v>
      </c>
    </row>
    <row r="34" spans="1:18">
      <c r="A34" s="15" t="s">
        <v>376</v>
      </c>
      <c r="B34" s="17" t="n">
        <v>3315</v>
      </c>
      <c r="C34" s="18">
        <f>(2916.0/B34*100)</f>
        <v/>
      </c>
      <c r="D34" s="19" t="n">
        <v>399</v>
      </c>
      <c r="E34" s="18" t="n">
        <v>66.66361455000001</v>
      </c>
      <c r="F34" s="20" t="n">
        <v>2.78120242</v>
      </c>
      <c r="G34" s="18" t="n">
        <v>31.22847097</v>
      </c>
      <c r="H34" s="20" t="n">
        <v>2.71784008</v>
      </c>
      <c r="I34" s="18" t="s">
        <v>349</v>
      </c>
      <c r="J34" s="20" t="s">
        <v>349</v>
      </c>
      <c r="K34" s="18" t="n">
        <v>2.10791448</v>
      </c>
      <c r="L34" s="20" t="n">
        <v>0.75360927</v>
      </c>
      <c r="M34" s="18" t="n">
        <v>0</v>
      </c>
      <c r="N34" s="20" t="n">
        <v>0</v>
      </c>
      <c r="O34" s="18" t="n">
        <v>0</v>
      </c>
      <c r="P34" s="20" t="n">
        <v>0</v>
      </c>
      <c r="Q34" s="18" t="n">
        <v>0</v>
      </c>
      <c r="R34" s="20" t="n">
        <v>0</v>
      </c>
    </row>
    <row r="35" spans="1:18">
      <c r="A35" s="15" t="s">
        <v>377</v>
      </c>
      <c r="B35" s="17" t="n">
        <v>3505</v>
      </c>
      <c r="C35" s="18">
        <f>(3095.0/B35*100)</f>
        <v/>
      </c>
      <c r="D35" s="19" t="n">
        <v>410</v>
      </c>
      <c r="E35" s="18" t="n">
        <v>53.4741564</v>
      </c>
      <c r="F35" s="20" t="n">
        <v>3.51455519</v>
      </c>
      <c r="G35" s="18" t="n">
        <v>44.93207156</v>
      </c>
      <c r="H35" s="20" t="n">
        <v>3.45997814</v>
      </c>
      <c r="I35" s="18" t="s">
        <v>349</v>
      </c>
      <c r="J35" s="20" t="s">
        <v>349</v>
      </c>
      <c r="K35" s="18" t="n">
        <v>1.59377204</v>
      </c>
      <c r="L35" s="20" t="n">
        <v>0.59392525</v>
      </c>
      <c r="M35" s="18" t="n">
        <v>0</v>
      </c>
      <c r="N35" s="20" t="n">
        <v>0</v>
      </c>
      <c r="O35" s="18" t="n">
        <v>0</v>
      </c>
      <c r="P35" s="20" t="n">
        <v>0</v>
      </c>
      <c r="Q35" s="18" t="n">
        <v>0</v>
      </c>
      <c r="R35" s="20" t="n">
        <v>0</v>
      </c>
    </row>
    <row r="36" spans="1:18">
      <c r="A36" s="15" t="s">
        <v>378</v>
      </c>
      <c r="B36" s="17" t="n">
        <v>3332</v>
      </c>
      <c r="C36" s="18">
        <f>(2936.0/B36*100)</f>
        <v/>
      </c>
      <c r="D36" s="19" t="n">
        <v>396</v>
      </c>
      <c r="E36" s="18" t="n">
        <v>60.73978559</v>
      </c>
      <c r="F36" s="20" t="n">
        <v>2.83975188</v>
      </c>
      <c r="G36" s="18" t="n">
        <v>34.45103724</v>
      </c>
      <c r="H36" s="20" t="n">
        <v>2.71955421</v>
      </c>
      <c r="I36" s="18" t="s">
        <v>349</v>
      </c>
      <c r="J36" s="20" t="s">
        <v>349</v>
      </c>
      <c r="K36" s="18" t="n">
        <v>4.80917717</v>
      </c>
      <c r="L36" s="20" t="n">
        <v>1.11770618</v>
      </c>
      <c r="M36" s="18" t="n">
        <v>0</v>
      </c>
      <c r="N36" s="20" t="n">
        <v>0</v>
      </c>
      <c r="O36" s="18" t="n">
        <v>0</v>
      </c>
      <c r="P36" s="20" t="n">
        <v>0</v>
      </c>
      <c r="Q36" s="18" t="n">
        <v>0</v>
      </c>
      <c r="R36" s="20" t="n">
        <v>0</v>
      </c>
    </row>
    <row r="37" spans="1:18">
      <c r="A37" s="15" t="s">
        <v>379</v>
      </c>
      <c r="B37" s="17" t="n">
        <v>2727</v>
      </c>
      <c r="C37" s="18">
        <f>(2435.0/B37*100)</f>
        <v/>
      </c>
      <c r="D37" s="19" t="n">
        <v>292</v>
      </c>
      <c r="E37" s="18" t="n">
        <v>59.15275945</v>
      </c>
      <c r="F37" s="20" t="n">
        <v>2.63687579</v>
      </c>
      <c r="G37" s="18" t="n">
        <v>32.46069464</v>
      </c>
      <c r="H37" s="20" t="n">
        <v>2.65890805</v>
      </c>
      <c r="I37" s="18" t="s">
        <v>349</v>
      </c>
      <c r="J37" s="20" t="s">
        <v>349</v>
      </c>
      <c r="K37" s="18" t="n">
        <v>8.386545910000001</v>
      </c>
      <c r="L37" s="20" t="n">
        <v>1.84212759</v>
      </c>
      <c r="M37" s="18" t="n">
        <v>0</v>
      </c>
      <c r="N37" s="20" t="n">
        <v>0</v>
      </c>
      <c r="O37" s="18" t="n">
        <v>0</v>
      </c>
      <c r="P37" s="20" t="n">
        <v>0</v>
      </c>
      <c r="Q37" s="18" t="n">
        <v>0</v>
      </c>
      <c r="R37" s="20" t="n">
        <v>0</v>
      </c>
    </row>
    <row r="38" spans="1:18">
      <c r="A38" s="15" t="s">
        <v>380</v>
      </c>
      <c r="B38" s="17" t="n">
        <v>3053</v>
      </c>
      <c r="C38" s="18">
        <f>(2568.0/B38*100)</f>
        <v/>
      </c>
      <c r="D38" s="19" t="n">
        <v>485</v>
      </c>
      <c r="E38" s="18" t="n">
        <v>53.0196799</v>
      </c>
      <c r="F38" s="20" t="n">
        <v>2.44299315</v>
      </c>
      <c r="G38" s="18" t="n">
        <v>43.12927798</v>
      </c>
      <c r="H38" s="20" t="n">
        <v>2.21740234</v>
      </c>
      <c r="I38" s="18" t="s">
        <v>349</v>
      </c>
      <c r="J38" s="20" t="s">
        <v>349</v>
      </c>
      <c r="K38" s="18" t="n">
        <v>3.85104212</v>
      </c>
      <c r="L38" s="20" t="n">
        <v>1.06721447</v>
      </c>
      <c r="M38" s="18" t="n">
        <v>0</v>
      </c>
      <c r="N38" s="20" t="n">
        <v>0</v>
      </c>
      <c r="O38" s="18" t="n">
        <v>0</v>
      </c>
      <c r="P38" s="20" t="n">
        <v>0</v>
      </c>
      <c r="Q38" s="18" t="n">
        <v>0</v>
      </c>
      <c r="R38" s="20" t="n">
        <v>0</v>
      </c>
    </row>
    <row r="39" spans="1:18">
      <c r="A39" s="15" t="s">
        <v>381</v>
      </c>
      <c r="B39" s="17" t="n">
        <v>2957</v>
      </c>
      <c r="C39" s="18">
        <f>(2594.0/B39*100)</f>
        <v/>
      </c>
      <c r="D39" s="19" t="n">
        <v>363</v>
      </c>
      <c r="E39" s="18" t="n">
        <v>74.43861321999999</v>
      </c>
      <c r="F39" s="20" t="n">
        <v>2.31184325</v>
      </c>
      <c r="G39" s="18" t="n">
        <v>21.19943551</v>
      </c>
      <c r="H39" s="20" t="n">
        <v>2.11288235</v>
      </c>
      <c r="I39" s="18" t="s">
        <v>349</v>
      </c>
      <c r="J39" s="20" t="s">
        <v>349</v>
      </c>
      <c r="K39" s="18" t="n">
        <v>4.36195127</v>
      </c>
      <c r="L39" s="20" t="n">
        <v>0.9702987199999999</v>
      </c>
      <c r="M39" s="18" t="n">
        <v>0</v>
      </c>
      <c r="N39" s="20" t="n">
        <v>0</v>
      </c>
      <c r="O39" s="18" t="n">
        <v>0</v>
      </c>
      <c r="P39" s="20" t="n">
        <v>0</v>
      </c>
      <c r="Q39" s="18" t="n">
        <v>0</v>
      </c>
      <c r="R39" s="20" t="n">
        <v>0</v>
      </c>
    </row>
    <row r="40" spans="1:18">
      <c r="A40" s="15" t="s">
        <v>382</v>
      </c>
      <c r="B40" s="17" t="n">
        <v>7235</v>
      </c>
      <c r="C40" s="18">
        <f>(6335.0/B40*100)</f>
        <v/>
      </c>
      <c r="D40" s="19" t="n">
        <v>900</v>
      </c>
      <c r="E40" s="18" t="n">
        <v>58.892295</v>
      </c>
      <c r="F40" s="20" t="n">
        <v>2.76320578</v>
      </c>
      <c r="G40" s="18" t="n">
        <v>37.60036708</v>
      </c>
      <c r="H40" s="20" t="n">
        <v>2.63793461</v>
      </c>
      <c r="I40" s="18" t="s">
        <v>349</v>
      </c>
      <c r="J40" s="20" t="s">
        <v>349</v>
      </c>
      <c r="K40" s="18" t="n">
        <v>3.50733792</v>
      </c>
      <c r="L40" s="20" t="n">
        <v>0.98304495</v>
      </c>
      <c r="M40" s="18" t="n">
        <v>0</v>
      </c>
      <c r="N40" s="20" t="n">
        <v>0</v>
      </c>
      <c r="O40" s="18" t="n">
        <v>0</v>
      </c>
      <c r="P40" s="20" t="n">
        <v>0</v>
      </c>
      <c r="Q40" s="18" t="n">
        <v>0</v>
      </c>
      <c r="R40" s="20" t="n">
        <v>0</v>
      </c>
    </row>
    <row r="41" spans="1:18">
      <c r="A41" s="15" t="s">
        <v>383</v>
      </c>
      <c r="B41" s="17" t="n">
        <v>2858</v>
      </c>
      <c r="C41" s="18">
        <f>(2542.0/B41*100)</f>
        <v/>
      </c>
      <c r="D41" s="19" t="n">
        <v>316</v>
      </c>
      <c r="E41" s="18" t="n">
        <v>63.27530521</v>
      </c>
      <c r="F41" s="20" t="n">
        <v>3.44405563</v>
      </c>
      <c r="G41" s="18" t="n">
        <v>34.54299471</v>
      </c>
      <c r="H41" s="20" t="n">
        <v>2.93756545</v>
      </c>
      <c r="I41" s="18" t="s">
        <v>349</v>
      </c>
      <c r="J41" s="20" t="s">
        <v>349</v>
      </c>
      <c r="K41" s="18" t="n">
        <v>2.18170008</v>
      </c>
      <c r="L41" s="20" t="n">
        <v>0.9978072100000001</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(10063.0/B46*100)</f>
        <v/>
      </c>
      <c r="D46" s="19" t="n">
        <v>1005</v>
      </c>
      <c r="E46" s="18" t="n">
        <v>77.96830696000001</v>
      </c>
      <c r="F46" s="20" t="n">
        <v>1.50752888</v>
      </c>
      <c r="G46" s="18" t="n">
        <v>11.12704762</v>
      </c>
      <c r="H46" s="20" t="n">
        <v>1.24738615</v>
      </c>
      <c r="I46" s="18" t="s">
        <v>349</v>
      </c>
      <c r="J46" s="20" t="s">
        <v>349</v>
      </c>
      <c r="K46" s="18" t="n">
        <v>10.90464542</v>
      </c>
      <c r="L46" s="20" t="n">
        <v>1.2079169</v>
      </c>
      <c r="M46" s="18" t="n">
        <v>0</v>
      </c>
      <c r="N46" s="20" t="n">
        <v>0</v>
      </c>
      <c r="O46" s="18" t="n">
        <v>0</v>
      </c>
      <c r="P46" s="20" t="n">
        <v>0</v>
      </c>
      <c r="Q46" s="18" t="n">
        <v>0</v>
      </c>
      <c r="R46" s="20" t="n">
        <v>0</v>
      </c>
    </row>
    <row r="47" spans="1:18">
      <c r="A47" s="15" t="s">
        <v>389</v>
      </c>
      <c r="B47" s="17" t="n">
        <v>3105</v>
      </c>
      <c r="C47" s="18">
        <f>(2740.0/B47*100)</f>
        <v/>
      </c>
      <c r="D47" s="19" t="n">
        <v>365</v>
      </c>
      <c r="E47" s="18" t="n">
        <v>71.55919909000001</v>
      </c>
      <c r="F47" s="20" t="n">
        <v>2.16586478</v>
      </c>
      <c r="G47" s="18" t="n">
        <v>24.10086626</v>
      </c>
      <c r="H47" s="20" t="n">
        <v>2.36669264</v>
      </c>
      <c r="I47" s="18" t="s">
        <v>349</v>
      </c>
      <c r="J47" s="20" t="s">
        <v>349</v>
      </c>
      <c r="K47" s="18" t="n">
        <v>4.33993465</v>
      </c>
      <c r="L47" s="20" t="n">
        <v>1.00942579</v>
      </c>
      <c r="M47" s="18" t="n">
        <v>0</v>
      </c>
      <c r="N47" s="20" t="n">
        <v>0</v>
      </c>
      <c r="O47" s="18" t="n">
        <v>0</v>
      </c>
      <c r="P47" s="20" t="n">
        <v>0</v>
      </c>
      <c r="Q47" s="18" t="n">
        <v>0</v>
      </c>
      <c r="R47" s="20" t="n">
        <v>0</v>
      </c>
    </row>
    <row r="48" spans="1:18">
      <c r="A48" s="15" t="s">
        <v>390</v>
      </c>
      <c r="B48" s="17" t="n">
        <v>5159</v>
      </c>
      <c r="C48" s="18">
        <f>(4509.0/B48*100)</f>
        <v/>
      </c>
      <c r="D48" s="19" t="n">
        <v>650</v>
      </c>
      <c r="E48" s="18" t="n">
        <v>57.04888303</v>
      </c>
      <c r="F48" s="20" t="n">
        <v>2.88085903</v>
      </c>
      <c r="G48" s="18" t="n">
        <v>40.84912268</v>
      </c>
      <c r="H48" s="20" t="n">
        <v>2.88663573</v>
      </c>
      <c r="I48" s="18" t="s">
        <v>349</v>
      </c>
      <c r="J48" s="20" t="s">
        <v>349</v>
      </c>
      <c r="K48" s="18" t="n">
        <v>2.1019943</v>
      </c>
      <c r="L48" s="20" t="n">
        <v>0.82867817</v>
      </c>
      <c r="M48" s="18" t="n">
        <v>0</v>
      </c>
      <c r="N48" s="20" t="n">
        <v>0</v>
      </c>
      <c r="O48" s="18" t="n">
        <v>0</v>
      </c>
      <c r="P48" s="20" t="n">
        <v>0</v>
      </c>
      <c r="Q48" s="18" t="n">
        <v>0</v>
      </c>
      <c r="R48" s="20" t="n">
        <v>0</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(4995.0/B50*100)</f>
        <v/>
      </c>
      <c r="D50" s="19" t="n">
        <v>642</v>
      </c>
      <c r="E50" s="18" t="n">
        <v>80.11612085</v>
      </c>
      <c r="F50" s="20" t="n">
        <v>1.85280794</v>
      </c>
      <c r="G50" s="18" t="n">
        <v>15.87303036</v>
      </c>
      <c r="H50" s="20" t="n">
        <v>1.73535805</v>
      </c>
      <c r="I50" s="18" t="s">
        <v>349</v>
      </c>
      <c r="J50" s="20" t="s">
        <v>349</v>
      </c>
      <c r="K50" s="18" t="n">
        <v>4.01084879</v>
      </c>
      <c r="L50" s="20" t="n">
        <v>0.86584824</v>
      </c>
      <c r="M50" s="18" t="n">
        <v>0</v>
      </c>
      <c r="N50" s="20" t="n">
        <v>0</v>
      </c>
      <c r="O50" s="18" t="n">
        <v>0</v>
      </c>
      <c r="P50" s="20" t="n">
        <v>0</v>
      </c>
      <c r="Q50" s="18" t="n">
        <v>0</v>
      </c>
      <c r="R50" s="20" t="n">
        <v>0</v>
      </c>
    </row>
    <row r="51" spans="1:18">
      <c r="A51" s="15" t="s">
        <v>393</v>
      </c>
      <c r="B51" s="17" t="n">
        <v>3372</v>
      </c>
      <c r="C51" s="18">
        <f>(3048.0/B51*100)</f>
        <v/>
      </c>
      <c r="D51" s="19" t="n">
        <v>324</v>
      </c>
      <c r="E51" s="18" t="n">
        <v>76.30901702</v>
      </c>
      <c r="F51" s="20" t="n">
        <v>2.41612796</v>
      </c>
      <c r="G51" s="18" t="n">
        <v>19.5660234</v>
      </c>
      <c r="H51" s="20" t="n">
        <v>2.22755137</v>
      </c>
      <c r="I51" s="18" t="s">
        <v>349</v>
      </c>
      <c r="J51" s="20" t="s">
        <v>349</v>
      </c>
      <c r="K51" s="18" t="n">
        <v>4.12495958</v>
      </c>
      <c r="L51" s="20" t="n">
        <v>1.12300374</v>
      </c>
      <c r="M51" s="18" t="n">
        <v>0</v>
      </c>
      <c r="N51" s="20" t="n">
        <v>0</v>
      </c>
      <c r="O51" s="18" t="n">
        <v>0</v>
      </c>
      <c r="P51" s="20" t="n">
        <v>0</v>
      </c>
      <c r="Q51" s="18" t="n">
        <v>0</v>
      </c>
      <c r="R51" s="20" t="n">
        <v>0</v>
      </c>
    </row>
    <row r="52" spans="1:18">
      <c r="A52" s="15" t="s">
        <v>394</v>
      </c>
      <c r="B52" s="17" t="n">
        <v>2796</v>
      </c>
      <c r="C52" s="18">
        <f>(2454.0/B52*100)</f>
        <v/>
      </c>
      <c r="D52" s="19" t="n">
        <v>342</v>
      </c>
      <c r="E52" s="18" t="n">
        <v>62.56790735</v>
      </c>
      <c r="F52" s="20" t="n">
        <v>2.67611436</v>
      </c>
      <c r="G52" s="18" t="n">
        <v>33.26911943</v>
      </c>
      <c r="H52" s="20" t="n">
        <v>2.61846181</v>
      </c>
      <c r="I52" s="18" t="s">
        <v>349</v>
      </c>
      <c r="J52" s="20" t="s">
        <v>349</v>
      </c>
      <c r="K52" s="18" t="n">
        <v>4.16297322</v>
      </c>
      <c r="L52" s="20" t="n">
        <v>1.12992068</v>
      </c>
      <c r="M52" s="18" t="n">
        <v>0</v>
      </c>
      <c r="N52" s="20" t="n">
        <v>0</v>
      </c>
      <c r="O52" s="18" t="n">
        <v>0</v>
      </c>
      <c r="P52" s="20" t="n">
        <v>0</v>
      </c>
      <c r="Q52" s="18" t="n">
        <v>0</v>
      </c>
      <c r="R52" s="20" t="n">
        <v>0</v>
      </c>
    </row>
    <row r="53" spans="1:18">
      <c r="A53" s="15" t="s">
        <v>395</v>
      </c>
      <c r="B53" s="17" t="n">
        <v>2811</v>
      </c>
      <c r="C53" s="18">
        <f>(2452.0/B53*100)</f>
        <v/>
      </c>
      <c r="D53" s="19" t="n">
        <v>359</v>
      </c>
      <c r="E53" s="18" t="n">
        <v>69.94851731999999</v>
      </c>
      <c r="F53" s="20" t="n">
        <v>2.68165675</v>
      </c>
      <c r="G53" s="18" t="n">
        <v>24.81105938</v>
      </c>
      <c r="H53" s="20" t="n">
        <v>2.59308869</v>
      </c>
      <c r="I53" s="18" t="s">
        <v>349</v>
      </c>
      <c r="J53" s="20" t="s">
        <v>349</v>
      </c>
      <c r="K53" s="18" t="n">
        <v>5.2404233</v>
      </c>
      <c r="L53" s="20" t="n">
        <v>0.98866621</v>
      </c>
      <c r="M53" s="18" t="n">
        <v>0</v>
      </c>
      <c r="N53" s="20" t="n">
        <v>0</v>
      </c>
      <c r="O53" s="18" t="n">
        <v>0</v>
      </c>
      <c r="P53" s="20" t="n">
        <v>0</v>
      </c>
      <c r="Q53" s="18" t="n">
        <v>0</v>
      </c>
      <c r="R53" s="20" t="n">
        <v>0</v>
      </c>
    </row>
    <row r="54" spans="1:18">
      <c r="A54" s="15" t="s">
        <v>396</v>
      </c>
      <c r="B54" s="17" t="n">
        <v>2266</v>
      </c>
      <c r="C54" s="18">
        <f>(1866.0/B54*100)</f>
        <v/>
      </c>
      <c r="D54" s="19" t="n">
        <v>400</v>
      </c>
      <c r="E54" s="18" t="n">
        <v>75.34559383</v>
      </c>
      <c r="F54" s="20" t="n">
        <v>2.32320629</v>
      </c>
      <c r="G54" s="18" t="n">
        <v>3.47216037</v>
      </c>
      <c r="H54" s="20" t="n">
        <v>0.8535886</v>
      </c>
      <c r="I54" s="18" t="s">
        <v>349</v>
      </c>
      <c r="J54" s="20" t="s">
        <v>349</v>
      </c>
      <c r="K54" s="18" t="n">
        <v>21.1822458</v>
      </c>
      <c r="L54" s="20" t="n">
        <v>2.11811705</v>
      </c>
      <c r="M54" s="18" t="n">
        <v>0</v>
      </c>
      <c r="N54" s="20" t="n">
        <v>0</v>
      </c>
      <c r="O54" s="18" t="n">
        <v>0</v>
      </c>
      <c r="P54" s="20" t="n">
        <v>0</v>
      </c>
      <c r="Q54" s="18" t="n">
        <v>0</v>
      </c>
      <c r="R54" s="20" t="n">
        <v>0</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(2360.0/B56*100)</f>
        <v/>
      </c>
      <c r="D56" s="19" t="n">
        <v>324</v>
      </c>
      <c r="E56" s="18" t="n">
        <v>50.07860848</v>
      </c>
      <c r="F56" s="20" t="n">
        <v>3.69456316</v>
      </c>
      <c r="G56" s="18" t="n">
        <v>49.09861847</v>
      </c>
      <c r="H56" s="20" t="n">
        <v>3.70468641</v>
      </c>
      <c r="I56" s="18" t="s">
        <v>349</v>
      </c>
      <c r="J56" s="20" t="s">
        <v>349</v>
      </c>
      <c r="K56" s="18" t="n">
        <v>0.8227730599999999</v>
      </c>
      <c r="L56" s="20" t="n">
        <v>0.49209753</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(2902.0/B61*100)</f>
        <v/>
      </c>
      <c r="D61" s="19" t="n">
        <v>422</v>
      </c>
      <c r="E61" s="18" t="n">
        <v>65.09716931</v>
      </c>
      <c r="F61" s="20" t="n">
        <v>2.7206962</v>
      </c>
      <c r="G61" s="18" t="n">
        <v>33.45864509</v>
      </c>
      <c r="H61" s="20" t="n">
        <v>2.59566291</v>
      </c>
      <c r="I61" s="18" t="s">
        <v>349</v>
      </c>
      <c r="J61" s="20" t="s">
        <v>349</v>
      </c>
      <c r="K61" s="18" t="n">
        <v>1.4441856</v>
      </c>
      <c r="L61" s="20" t="n">
        <v>0.62069349</v>
      </c>
      <c r="M61" s="18" t="n">
        <v>0</v>
      </c>
      <c r="N61" s="20" t="n">
        <v>0</v>
      </c>
      <c r="O61" s="18" t="n">
        <v>0</v>
      </c>
      <c r="P61" s="20" t="n">
        <v>0</v>
      </c>
      <c r="Q61" s="18" t="n">
        <v>0</v>
      </c>
      <c r="R61" s="20" t="n">
        <v>0</v>
      </c>
    </row>
    <row r="62" spans="1:18">
      <c r="A62" s="15" t="s">
        <v>404</v>
      </c>
      <c r="B62" s="17" t="n">
        <v>2246</v>
      </c>
      <c r="C62" s="18">
        <f>(1988.0/B62*100)</f>
        <v/>
      </c>
      <c r="D62" s="19" t="n">
        <v>258</v>
      </c>
      <c r="E62" s="18" t="n">
        <v>43.09803259</v>
      </c>
      <c r="F62" s="20" t="n">
        <v>3.25529497</v>
      </c>
      <c r="G62" s="18" t="n">
        <v>54.57935997</v>
      </c>
      <c r="H62" s="20" t="n">
        <v>3.52856279</v>
      </c>
      <c r="I62" s="18" t="s">
        <v>349</v>
      </c>
      <c r="J62" s="20" t="s">
        <v>349</v>
      </c>
      <c r="K62" s="18" t="n">
        <v>2.32260744</v>
      </c>
      <c r="L62" s="20" t="n">
        <v>0.93848519</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(2541.0/B66*100)</f>
        <v/>
      </c>
      <c r="D66" s="19" t="n">
        <v>353</v>
      </c>
      <c r="E66" s="18" t="n">
        <v>74.02499408</v>
      </c>
      <c r="F66" s="20" t="n">
        <v>2.22355529</v>
      </c>
      <c r="G66" s="18" t="n">
        <v>18.2161791</v>
      </c>
      <c r="H66" s="20" t="n">
        <v>1.9442389</v>
      </c>
      <c r="I66" s="18" t="s">
        <v>349</v>
      </c>
      <c r="J66" s="20" t="s">
        <v>349</v>
      </c>
      <c r="K66" s="18" t="n">
        <v>7.75882682</v>
      </c>
      <c r="L66" s="20" t="n">
        <v>1.39750146</v>
      </c>
      <c r="M66" s="18" t="n">
        <v>0</v>
      </c>
      <c r="N66" s="20" t="n">
        <v>0</v>
      </c>
      <c r="O66" s="18" t="n">
        <v>0</v>
      </c>
      <c r="P66" s="20" t="n">
        <v>0</v>
      </c>
      <c r="Q66" s="18" t="n">
        <v>0</v>
      </c>
      <c r="R66" s="20" t="n">
        <v>0</v>
      </c>
    </row>
    <row r="67" spans="1:18">
      <c r="A67" s="15" t="s">
        <v>409</v>
      </c>
      <c r="B67" s="17" t="n">
        <v>3511</v>
      </c>
      <c r="C67" s="18">
        <f>(3153.0/B67*100)</f>
        <v/>
      </c>
      <c r="D67" s="19" t="n">
        <v>358</v>
      </c>
      <c r="E67" s="18" t="n">
        <v>76.2915246</v>
      </c>
      <c r="F67" s="20" t="n">
        <v>2.50763376</v>
      </c>
      <c r="G67" s="18" t="n">
        <v>21.2018769</v>
      </c>
      <c r="H67" s="20" t="n">
        <v>2.47423051</v>
      </c>
      <c r="I67" s="18" t="s">
        <v>349</v>
      </c>
      <c r="J67" s="20" t="s">
        <v>349</v>
      </c>
      <c r="K67" s="18" t="n">
        <v>2.5065985</v>
      </c>
      <c r="L67" s="20" t="n">
        <v>0.89157866</v>
      </c>
      <c r="M67" s="18" t="n">
        <v>0</v>
      </c>
      <c r="N67" s="20" t="n">
        <v>0</v>
      </c>
      <c r="O67" s="18" t="n">
        <v>0</v>
      </c>
      <c r="P67" s="20" t="n">
        <v>0</v>
      </c>
      <c r="Q67" s="18" t="n">
        <v>0</v>
      </c>
      <c r="R67" s="20" t="n">
        <v>0</v>
      </c>
    </row>
    <row r="68" spans="1:18">
      <c r="A68" s="15" t="s">
        <v>410</v>
      </c>
      <c r="B68" s="17" t="n">
        <v>6049</v>
      </c>
      <c r="C68" s="18">
        <f>(5042.0/B68*100)</f>
        <v/>
      </c>
      <c r="D68" s="19" t="n">
        <v>1007</v>
      </c>
      <c r="E68" s="18" t="n">
        <v>77.72744668999999</v>
      </c>
      <c r="F68" s="20" t="n">
        <v>1.0765385</v>
      </c>
      <c r="G68" s="18" t="n">
        <v>12.07327774</v>
      </c>
      <c r="H68" s="20" t="n">
        <v>0.99730014</v>
      </c>
      <c r="I68" s="18" t="s">
        <v>349</v>
      </c>
      <c r="J68" s="20" t="s">
        <v>349</v>
      </c>
      <c r="K68" s="18" t="n">
        <v>10.19927557</v>
      </c>
      <c r="L68" s="20" t="n">
        <v>0.89586073</v>
      </c>
      <c r="M68" s="18" t="n">
        <v>0</v>
      </c>
      <c r="N68" s="20" t="n">
        <v>0</v>
      </c>
      <c r="O68" s="18" t="n">
        <v>0</v>
      </c>
      <c r="P68" s="20" t="n">
        <v>0</v>
      </c>
      <c r="Q68" s="18" t="n">
        <v>0</v>
      </c>
      <c r="R68" s="20" t="n">
        <v>0</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(2598.0/B70*100)</f>
        <v/>
      </c>
      <c r="D70" s="19" t="n">
        <v>331</v>
      </c>
      <c r="E70" s="18" t="n">
        <v>58.81209892</v>
      </c>
      <c r="F70" s="20" t="n">
        <v>2.78928939</v>
      </c>
      <c r="G70" s="18" t="n">
        <v>39.19254451</v>
      </c>
      <c r="H70" s="20" t="n">
        <v>2.77902389</v>
      </c>
      <c r="I70" s="18" t="s">
        <v>349</v>
      </c>
      <c r="J70" s="20" t="s">
        <v>349</v>
      </c>
      <c r="K70" s="18" t="n">
        <v>1.99535658</v>
      </c>
      <c r="L70" s="20" t="n">
        <v>0.7304418</v>
      </c>
      <c r="M70" s="18" t="n">
        <v>0</v>
      </c>
      <c r="N70" s="20" t="n">
        <v>0</v>
      </c>
      <c r="O70" s="18" t="n">
        <v>0</v>
      </c>
      <c r="P70" s="20" t="n">
        <v>0</v>
      </c>
      <c r="Q70" s="18" t="n">
        <v>0</v>
      </c>
      <c r="R70" s="20" t="n">
        <v>0</v>
      </c>
    </row>
    <row r="71" spans="1:18">
      <c r="A71" s="15" t="s">
        <v>413</v>
      </c>
      <c r="B71" s="17" t="n">
        <v>3142</v>
      </c>
      <c r="C71" s="18">
        <f>(2754.0/B71*100)</f>
        <v/>
      </c>
      <c r="D71" s="19" t="n">
        <v>388</v>
      </c>
      <c r="E71" s="18" t="n">
        <v>46.30283147</v>
      </c>
      <c r="F71" s="20" t="n">
        <v>2.56432342</v>
      </c>
      <c r="G71" s="18" t="n">
        <v>52.11511928</v>
      </c>
      <c r="H71" s="20" t="n">
        <v>2.67941692</v>
      </c>
      <c r="I71" s="18" t="s">
        <v>349</v>
      </c>
      <c r="J71" s="20" t="s">
        <v>349</v>
      </c>
      <c r="K71" s="18" t="n">
        <v>1.58204926</v>
      </c>
      <c r="L71" s="20" t="n">
        <v>0.5112165400000001</v>
      </c>
      <c r="M71" s="18" t="n">
        <v>0</v>
      </c>
      <c r="N71" s="20" t="n">
        <v>0</v>
      </c>
      <c r="O71" s="18" t="n">
        <v>0</v>
      </c>
      <c r="P71" s="20" t="n">
        <v>0</v>
      </c>
      <c r="Q71" s="18" t="n">
        <v>0</v>
      </c>
      <c r="R71" s="20" t="n">
        <v>0</v>
      </c>
    </row>
    <row r="72" spans="1:18">
      <c r="A72" s="15" t="s">
        <v>414</v>
      </c>
      <c r="B72" s="17" t="n">
        <v>3889</v>
      </c>
      <c r="C72" s="18">
        <f>(3422.0/B72*100)</f>
        <v/>
      </c>
      <c r="D72" s="19" t="n">
        <v>467</v>
      </c>
      <c r="E72" s="18" t="n">
        <v>48.77332197</v>
      </c>
      <c r="F72" s="20" t="n">
        <v>2.40481308</v>
      </c>
      <c r="G72" s="18" t="n">
        <v>50.13249704</v>
      </c>
      <c r="H72" s="20" t="n">
        <v>2.49867191</v>
      </c>
      <c r="I72" s="18" t="s">
        <v>349</v>
      </c>
      <c r="J72" s="20" t="s">
        <v>349</v>
      </c>
      <c r="K72" s="18" t="n">
        <v>1.094181</v>
      </c>
      <c r="L72" s="20" t="n">
        <v>0.46080326</v>
      </c>
      <c r="M72" s="18" t="n">
        <v>0</v>
      </c>
      <c r="N72" s="20" t="n">
        <v>0</v>
      </c>
      <c r="O72" s="18" t="n">
        <v>0</v>
      </c>
      <c r="P72" s="20" t="n">
        <v>0</v>
      </c>
      <c r="Q72" s="18" t="n">
        <v>0</v>
      </c>
      <c r="R72" s="20" t="n">
        <v>0</v>
      </c>
    </row>
    <row r="73" spans="1:18">
      <c r="A73" s="15" t="s">
        <v>415</v>
      </c>
      <c r="B73" s="17" t="n">
        <v>3597</v>
      </c>
      <c r="C73" s="18">
        <f>(3192.0/B73*100)</f>
        <v/>
      </c>
      <c r="D73" s="19" t="n">
        <v>405</v>
      </c>
      <c r="E73" s="18" t="n">
        <v>80.30164243999999</v>
      </c>
      <c r="F73" s="20" t="n">
        <v>2.52357142</v>
      </c>
      <c r="G73" s="18" t="n">
        <v>18.95871347</v>
      </c>
      <c r="H73" s="20" t="n">
        <v>2.34507266</v>
      </c>
      <c r="I73" s="18" t="s">
        <v>349</v>
      </c>
      <c r="J73" s="20" t="s">
        <v>349</v>
      </c>
      <c r="K73" s="18" t="n">
        <v>0.73964409</v>
      </c>
      <c r="L73" s="20" t="n">
        <v>0.53474359</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(2145.0/B75*100)</f>
        <v/>
      </c>
      <c r="D75" s="19" t="n">
        <v>261</v>
      </c>
      <c r="E75" s="18" t="n">
        <v>79.81355111000001</v>
      </c>
      <c r="F75" s="20" t="n">
        <v>2.69838244</v>
      </c>
      <c r="G75" s="18" t="n">
        <v>5.81901347</v>
      </c>
      <c r="H75" s="20" t="n">
        <v>1.89545738</v>
      </c>
      <c r="I75" s="18" t="s">
        <v>349</v>
      </c>
      <c r="J75" s="20" t="s">
        <v>349</v>
      </c>
      <c r="K75" s="18" t="n">
        <v>14.36743542</v>
      </c>
      <c r="L75" s="20" t="n">
        <v>2.19538539</v>
      </c>
      <c r="M75" s="18" t="n">
        <v>0</v>
      </c>
      <c r="N75" s="20" t="n">
        <v>0</v>
      </c>
      <c r="O75" s="18" t="n">
        <v>0</v>
      </c>
      <c r="P75" s="20" t="n">
        <v>0</v>
      </c>
      <c r="Q75" s="18" t="n">
        <v>0</v>
      </c>
      <c r="R75" s="20" t="n">
        <v>0</v>
      </c>
    </row>
    <row r="76" spans="1:18">
      <c r="A76" s="15" t="s">
        <v>418</v>
      </c>
      <c r="B76" s="17" t="n">
        <v>7052</v>
      </c>
      <c r="C76" s="18">
        <f>(6181.0/B76*100)</f>
        <v/>
      </c>
      <c r="D76" s="19" t="n">
        <v>871</v>
      </c>
      <c r="E76" s="18" t="n">
        <v>77.72142328</v>
      </c>
      <c r="F76" s="20" t="n">
        <v>1.74729439</v>
      </c>
      <c r="G76" s="18" t="n">
        <v>17.53476954</v>
      </c>
      <c r="H76" s="20" t="n">
        <v>1.48736578</v>
      </c>
      <c r="I76" s="18" t="s">
        <v>349</v>
      </c>
      <c r="J76" s="20" t="s">
        <v>349</v>
      </c>
      <c r="K76" s="18" t="n">
        <v>4.74380719</v>
      </c>
      <c r="L76" s="20" t="n">
        <v>1.10520216</v>
      </c>
      <c r="M76" s="18" t="n">
        <v>0</v>
      </c>
      <c r="N76" s="20" t="n">
        <v>0</v>
      </c>
      <c r="O76" s="18" t="n">
        <v>0</v>
      </c>
      <c r="P76" s="20" t="n">
        <v>0</v>
      </c>
      <c r="Q76" s="18" t="n">
        <v>0</v>
      </c>
      <c r="R76" s="20" t="n">
        <v>0</v>
      </c>
    </row>
    <row r="77" spans="1:18">
      <c r="A77" s="15" t="s">
        <v>419</v>
      </c>
      <c r="B77" s="17" t="n">
        <v>2908</v>
      </c>
      <c r="C77" s="18">
        <f>(2590.0/B77*100)</f>
        <v/>
      </c>
      <c r="D77" s="19" t="n">
        <v>318</v>
      </c>
      <c r="E77" s="18" t="n">
        <v>70.50534093</v>
      </c>
      <c r="F77" s="20" t="n">
        <v>2.69403313</v>
      </c>
      <c r="G77" s="18" t="n">
        <v>22.73103207</v>
      </c>
      <c r="H77" s="20" t="n">
        <v>2.5400002</v>
      </c>
      <c r="I77" s="18" t="s">
        <v>349</v>
      </c>
      <c r="J77" s="20" t="s">
        <v>349</v>
      </c>
      <c r="K77" s="18" t="n">
        <v>6.76362701</v>
      </c>
      <c r="L77" s="20" t="n">
        <v>1.48212037</v>
      </c>
      <c r="M77" s="18" t="n">
        <v>0</v>
      </c>
      <c r="N77" s="20" t="n">
        <v>0</v>
      </c>
      <c r="O77" s="18" t="n">
        <v>0</v>
      </c>
      <c r="P77" s="20" t="n">
        <v>0</v>
      </c>
      <c r="Q77" s="18" t="n">
        <v>0</v>
      </c>
      <c r="R77" s="20" t="n">
        <v>0</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(3659.0/B81*100)</f>
        <v/>
      </c>
      <c r="D81" s="19" t="n">
        <v>504</v>
      </c>
      <c r="E81" s="18" t="n">
        <v>76.04835447000001</v>
      </c>
      <c r="F81" s="20" t="n">
        <v>2.0335744</v>
      </c>
      <c r="G81" s="18" t="n">
        <v>22.88855945</v>
      </c>
      <c r="H81" s="20" t="n">
        <v>2.08748985</v>
      </c>
      <c r="I81" s="18" t="s">
        <v>349</v>
      </c>
      <c r="J81" s="20" t="s">
        <v>349</v>
      </c>
      <c r="K81" s="18" t="n">
        <v>1.06308609</v>
      </c>
      <c r="L81" s="20" t="n">
        <v>0.57163496</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(6480.0/B7*100)</f>
        <v/>
      </c>
      <c r="D7" s="19" t="n">
        <v>887</v>
      </c>
      <c r="E7" s="18" t="n">
        <v>50.95746384</v>
      </c>
      <c r="F7" s="20" t="n">
        <v>2.00989807</v>
      </c>
      <c r="G7" s="18" t="n">
        <v>48.02610677</v>
      </c>
      <c r="H7" s="20" t="n">
        <v>1.9798162</v>
      </c>
      <c r="I7" s="18" t="s">
        <v>349</v>
      </c>
      <c r="J7" s="20" t="s">
        <v>349</v>
      </c>
      <c r="K7" s="18" t="n">
        <v>0</v>
      </c>
      <c r="L7" s="20" t="n">
        <v>0</v>
      </c>
      <c r="M7" s="18" t="n">
        <v>0</v>
      </c>
      <c r="N7" s="20" t="n">
        <v>0</v>
      </c>
      <c r="O7" s="18" t="n">
        <v>0</v>
      </c>
      <c r="P7" s="20" t="n">
        <v>0</v>
      </c>
      <c r="Q7" s="18" t="n">
        <v>1.0164294</v>
      </c>
      <c r="R7" s="20" t="n">
        <v>0.33628218</v>
      </c>
    </row>
    <row r="8" spans="1:18">
      <c r="A8" s="15" t="s">
        <v>350</v>
      </c>
      <c r="B8" s="17" t="n">
        <v>3564</v>
      </c>
      <c r="C8" s="18">
        <f>(3125.0/B8*100)</f>
        <v/>
      </c>
      <c r="D8" s="19" t="n">
        <v>439</v>
      </c>
      <c r="E8" s="18" t="n">
        <v>52.47303622</v>
      </c>
      <c r="F8" s="20" t="n">
        <v>3.04684359</v>
      </c>
      <c r="G8" s="18" t="n">
        <v>47.07472373</v>
      </c>
      <c r="H8" s="20" t="n">
        <v>3.05244794</v>
      </c>
      <c r="I8" s="18" t="s">
        <v>349</v>
      </c>
      <c r="J8" s="20" t="s">
        <v>349</v>
      </c>
      <c r="K8" s="18" t="n">
        <v>0</v>
      </c>
      <c r="L8" s="20" t="n">
        <v>0</v>
      </c>
      <c r="M8" s="18" t="n">
        <v>0</v>
      </c>
      <c r="N8" s="20" t="n">
        <v>0</v>
      </c>
      <c r="O8" s="18" t="n">
        <v>0</v>
      </c>
      <c r="P8" s="20" t="n">
        <v>0</v>
      </c>
      <c r="Q8" s="18" t="n">
        <v>0.45224006</v>
      </c>
      <c r="R8" s="20" t="n">
        <v>0.32814106</v>
      </c>
    </row>
    <row r="9" spans="1:18">
      <c r="A9" s="15" t="s">
        <v>351</v>
      </c>
      <c r="B9" s="17" t="n">
        <v>4899</v>
      </c>
      <c r="C9" s="18">
        <f>(4298.0/B9*100)</f>
        <v/>
      </c>
      <c r="D9" s="19" t="n">
        <v>601</v>
      </c>
      <c r="E9" s="18" t="n">
        <v>55.00693051</v>
      </c>
      <c r="F9" s="20" t="n">
        <v>2.38646585</v>
      </c>
      <c r="G9" s="18" t="n">
        <v>44.32810575</v>
      </c>
      <c r="H9" s="20" t="n">
        <v>2.27209741</v>
      </c>
      <c r="I9" s="18" t="s">
        <v>349</v>
      </c>
      <c r="J9" s="20" t="s">
        <v>349</v>
      </c>
      <c r="K9" s="18" t="n">
        <v>0</v>
      </c>
      <c r="L9" s="20" t="n">
        <v>0</v>
      </c>
      <c r="M9" s="18" t="n">
        <v>0</v>
      </c>
      <c r="N9" s="20" t="n">
        <v>0</v>
      </c>
      <c r="O9" s="18" t="n">
        <v>0</v>
      </c>
      <c r="P9" s="20" t="n">
        <v>0</v>
      </c>
      <c r="Q9" s="18" t="n">
        <v>0.66496374</v>
      </c>
      <c r="R9" s="20" t="n">
        <v>0.33968146</v>
      </c>
    </row>
    <row r="10" spans="1:18">
      <c r="A10" s="15" t="s">
        <v>352</v>
      </c>
      <c r="B10" s="17" t="n">
        <v>10036</v>
      </c>
      <c r="C10" s="18">
        <f>(8787.0/B10*100)</f>
        <v/>
      </c>
      <c r="D10" s="19" t="n">
        <v>1249</v>
      </c>
      <c r="E10" s="18" t="n">
        <v>55.5302908</v>
      </c>
      <c r="F10" s="20" t="n">
        <v>2.16057589</v>
      </c>
      <c r="G10" s="18" t="n">
        <v>43.92871825</v>
      </c>
      <c r="H10" s="20" t="n">
        <v>2.12141984</v>
      </c>
      <c r="I10" s="18" t="s">
        <v>349</v>
      </c>
      <c r="J10" s="20" t="s">
        <v>349</v>
      </c>
      <c r="K10" s="18" t="n">
        <v>0.25120146</v>
      </c>
      <c r="L10" s="20" t="n">
        <v>0.20440139</v>
      </c>
      <c r="M10" s="18" t="n">
        <v>0</v>
      </c>
      <c r="N10" s="20" t="n">
        <v>0</v>
      </c>
      <c r="O10" s="18" t="n">
        <v>0</v>
      </c>
      <c r="P10" s="20" t="n">
        <v>0</v>
      </c>
      <c r="Q10" s="18" t="n">
        <v>0.28978949</v>
      </c>
      <c r="R10" s="20" t="n">
        <v>0.12673228</v>
      </c>
    </row>
    <row r="11" spans="1:18">
      <c r="A11" s="15" t="s">
        <v>353</v>
      </c>
      <c r="B11" s="17" t="n">
        <v>3553</v>
      </c>
      <c r="C11" s="18">
        <f>(3120.0/B11*100)</f>
        <v/>
      </c>
      <c r="D11" s="19" t="n">
        <v>433</v>
      </c>
      <c r="E11" s="18" t="n">
        <v>67.77874056</v>
      </c>
      <c r="F11" s="20" t="n">
        <v>2.69192484</v>
      </c>
      <c r="G11" s="18" t="n">
        <v>30.2225997</v>
      </c>
      <c r="H11" s="20" t="n">
        <v>2.64368583</v>
      </c>
      <c r="I11" s="18" t="s">
        <v>349</v>
      </c>
      <c r="J11" s="20" t="s">
        <v>349</v>
      </c>
      <c r="K11" s="18" t="n">
        <v>0.27313549</v>
      </c>
      <c r="L11" s="20" t="n">
        <v>0.23681543</v>
      </c>
      <c r="M11" s="18" t="n">
        <v>0</v>
      </c>
      <c r="N11" s="20" t="n">
        <v>0</v>
      </c>
      <c r="O11" s="18" t="n">
        <v>0</v>
      </c>
      <c r="P11" s="20" t="n">
        <v>0</v>
      </c>
      <c r="Q11" s="18" t="n">
        <v>1.72552425</v>
      </c>
      <c r="R11" s="20" t="n">
        <v>0.69547269</v>
      </c>
    </row>
    <row r="12" spans="1:18">
      <c r="A12" s="15" t="s">
        <v>354</v>
      </c>
      <c r="B12" s="17" t="n">
        <v>3472</v>
      </c>
      <c r="C12" s="18">
        <f>(3072.0/B12*100)</f>
        <v/>
      </c>
      <c r="D12" s="19" t="n">
        <v>400</v>
      </c>
      <c r="E12" s="18" t="n">
        <v>53.17855871</v>
      </c>
      <c r="F12" s="20" t="n">
        <v>2.66157572</v>
      </c>
      <c r="G12" s="18" t="n">
        <v>46.6363934</v>
      </c>
      <c r="H12" s="20" t="n">
        <v>2.6755789</v>
      </c>
      <c r="I12" s="18" t="s">
        <v>349</v>
      </c>
      <c r="J12" s="20" t="s">
        <v>349</v>
      </c>
      <c r="K12" s="18" t="n">
        <v>0</v>
      </c>
      <c r="L12" s="20" t="n">
        <v>0</v>
      </c>
      <c r="M12" s="18" t="n">
        <v>0</v>
      </c>
      <c r="N12" s="20" t="n">
        <v>0</v>
      </c>
      <c r="O12" s="18" t="n">
        <v>0</v>
      </c>
      <c r="P12" s="20" t="n">
        <v>0</v>
      </c>
      <c r="Q12" s="18" t="n">
        <v>0.18504789</v>
      </c>
      <c r="R12" s="20" t="n">
        <v>0.14850933</v>
      </c>
    </row>
    <row r="13" spans="1:18">
      <c r="A13" s="15" t="s">
        <v>355</v>
      </c>
      <c r="B13" s="17" t="n">
        <v>3559</v>
      </c>
      <c r="C13" s="18">
        <f>(3158.0/B13*100)</f>
        <v/>
      </c>
      <c r="D13" s="19" t="n">
        <v>401</v>
      </c>
      <c r="E13" s="18" t="n">
        <v>53.69078478</v>
      </c>
      <c r="F13" s="20" t="n">
        <v>3.00364073</v>
      </c>
      <c r="G13" s="18" t="n">
        <v>45.66341459</v>
      </c>
      <c r="H13" s="20" t="n">
        <v>2.98471503</v>
      </c>
      <c r="I13" s="18" t="s">
        <v>349</v>
      </c>
      <c r="J13" s="20" t="s">
        <v>349</v>
      </c>
      <c r="K13" s="18" t="n">
        <v>0.53484378</v>
      </c>
      <c r="L13" s="20" t="n">
        <v>0.37463942</v>
      </c>
      <c r="M13" s="18" t="n">
        <v>0</v>
      </c>
      <c r="N13" s="20" t="n">
        <v>0</v>
      </c>
      <c r="O13" s="18" t="n">
        <v>0</v>
      </c>
      <c r="P13" s="20" t="n">
        <v>0</v>
      </c>
      <c r="Q13" s="18" t="n">
        <v>0.11095685</v>
      </c>
      <c r="R13" s="20" t="n">
        <v>0.11145472</v>
      </c>
    </row>
    <row r="14" spans="1:18">
      <c r="A14" s="15" t="s">
        <v>356</v>
      </c>
      <c r="B14" s="17" t="n">
        <v>2799</v>
      </c>
      <c r="C14" s="18">
        <f>(2453.0/B14*100)</f>
        <v/>
      </c>
      <c r="D14" s="19" t="n">
        <v>346</v>
      </c>
      <c r="E14" s="18" t="n">
        <v>52.56046387</v>
      </c>
      <c r="F14" s="20" t="n">
        <v>2.69611896</v>
      </c>
      <c r="G14" s="18" t="n">
        <v>46.99036771</v>
      </c>
      <c r="H14" s="20" t="n">
        <v>2.67092208</v>
      </c>
      <c r="I14" s="18" t="s">
        <v>349</v>
      </c>
      <c r="J14" s="20" t="s">
        <v>349</v>
      </c>
      <c r="K14" s="18" t="n">
        <v>0.23169625</v>
      </c>
      <c r="L14" s="20" t="n">
        <v>0.23243413</v>
      </c>
      <c r="M14" s="18" t="n">
        <v>0</v>
      </c>
      <c r="N14" s="20" t="n">
        <v>0</v>
      </c>
      <c r="O14" s="18" t="n">
        <v>0</v>
      </c>
      <c r="P14" s="20" t="n">
        <v>0</v>
      </c>
      <c r="Q14" s="18" t="n">
        <v>0.21747217</v>
      </c>
      <c r="R14" s="20" t="n">
        <v>0.21705329</v>
      </c>
    </row>
    <row r="15" spans="1:18">
      <c r="A15" s="15" t="s">
        <v>357</v>
      </c>
      <c r="B15" s="17" t="n">
        <v>3019</v>
      </c>
      <c r="C15" s="18">
        <f>(2644.0/B15*100)</f>
        <v/>
      </c>
      <c r="D15" s="19" t="n">
        <v>375</v>
      </c>
      <c r="E15" s="18" t="n">
        <v>54.94260499</v>
      </c>
      <c r="F15" s="20" t="n">
        <v>2.39216084</v>
      </c>
      <c r="G15" s="18" t="n">
        <v>44.79269749</v>
      </c>
      <c r="H15" s="20" t="n">
        <v>2.39313082</v>
      </c>
      <c r="I15" s="18" t="s">
        <v>349</v>
      </c>
      <c r="J15" s="20" t="s">
        <v>349</v>
      </c>
      <c r="K15" s="18" t="n">
        <v>0</v>
      </c>
      <c r="L15" s="20" t="n">
        <v>0</v>
      </c>
      <c r="M15" s="18" t="n">
        <v>0</v>
      </c>
      <c r="N15" s="20" t="n">
        <v>0</v>
      </c>
      <c r="O15" s="18" t="n">
        <v>0</v>
      </c>
      <c r="P15" s="20" t="n">
        <v>0</v>
      </c>
      <c r="Q15" s="18" t="n">
        <v>0.26469752</v>
      </c>
      <c r="R15" s="20" t="n">
        <v>0.26640169</v>
      </c>
    </row>
    <row r="16" spans="1:18">
      <c r="A16" s="15" t="s">
        <v>358</v>
      </c>
      <c r="B16" s="17" t="n">
        <v>2997</v>
      </c>
      <c r="C16" s="18">
        <f>(2619.0/B16*100)</f>
        <v/>
      </c>
      <c r="D16" s="19" t="n">
        <v>378</v>
      </c>
      <c r="E16" s="18" t="n">
        <v>54.63687477</v>
      </c>
      <c r="F16" s="20" t="n">
        <v>2.41227169</v>
      </c>
      <c r="G16" s="18" t="n">
        <v>44.25025917</v>
      </c>
      <c r="H16" s="20" t="n">
        <v>2.37494249</v>
      </c>
      <c r="I16" s="18" t="s">
        <v>349</v>
      </c>
      <c r="J16" s="20" t="s">
        <v>349</v>
      </c>
      <c r="K16" s="18" t="n">
        <v>0</v>
      </c>
      <c r="L16" s="20" t="n">
        <v>0</v>
      </c>
      <c r="M16" s="18" t="n">
        <v>0</v>
      </c>
      <c r="N16" s="20" t="n">
        <v>0</v>
      </c>
      <c r="O16" s="18" t="n">
        <v>0</v>
      </c>
      <c r="P16" s="20" t="n">
        <v>0</v>
      </c>
      <c r="Q16" s="18" t="n">
        <v>1.11286606</v>
      </c>
      <c r="R16" s="20" t="n">
        <v>0.54999668</v>
      </c>
    </row>
    <row r="17" spans="1:18">
      <c r="A17" s="15" t="s">
        <v>359</v>
      </c>
      <c r="B17" s="17" t="n">
        <v>3307</v>
      </c>
      <c r="C17" s="18">
        <f>(2916.0/B17*100)</f>
        <v/>
      </c>
      <c r="D17" s="19" t="n">
        <v>391</v>
      </c>
      <c r="E17" s="18" t="n">
        <v>52.63845486</v>
      </c>
      <c r="F17" s="20" t="n">
        <v>2.83606483</v>
      </c>
      <c r="G17" s="18" t="n">
        <v>46.257856</v>
      </c>
      <c r="H17" s="20" t="n">
        <v>2.82229017</v>
      </c>
      <c r="I17" s="18" t="s">
        <v>349</v>
      </c>
      <c r="J17" s="20" t="s">
        <v>349</v>
      </c>
      <c r="K17" s="18" t="n">
        <v>0</v>
      </c>
      <c r="L17" s="20" t="n">
        <v>0</v>
      </c>
      <c r="M17" s="18" t="n">
        <v>0</v>
      </c>
      <c r="N17" s="20" t="n">
        <v>0</v>
      </c>
      <c r="O17" s="18" t="n">
        <v>0</v>
      </c>
      <c r="P17" s="20" t="n">
        <v>0</v>
      </c>
      <c r="Q17" s="18" t="n">
        <v>1.10368914</v>
      </c>
      <c r="R17" s="20" t="n">
        <v>0.52264038</v>
      </c>
    </row>
    <row r="18" spans="1:18">
      <c r="A18" s="15" t="s">
        <v>360</v>
      </c>
      <c r="B18" s="17" t="n">
        <v>2826</v>
      </c>
      <c r="C18" s="18">
        <f>(2499.0/B18*100)</f>
        <v/>
      </c>
      <c r="D18" s="19" t="n">
        <v>327</v>
      </c>
      <c r="E18" s="18" t="n">
        <v>63.67911391</v>
      </c>
      <c r="F18" s="20" t="n">
        <v>2.81129967</v>
      </c>
      <c r="G18" s="18" t="n">
        <v>35.94116073</v>
      </c>
      <c r="H18" s="20" t="n">
        <v>2.80506999</v>
      </c>
      <c r="I18" s="18" t="s">
        <v>349</v>
      </c>
      <c r="J18" s="20" t="s">
        <v>349</v>
      </c>
      <c r="K18" s="18" t="n">
        <v>0</v>
      </c>
      <c r="L18" s="20" t="n">
        <v>0</v>
      </c>
      <c r="M18" s="18" t="n">
        <v>0</v>
      </c>
      <c r="N18" s="20" t="n">
        <v>0</v>
      </c>
      <c r="O18" s="18" t="n">
        <v>0</v>
      </c>
      <c r="P18" s="20" t="n">
        <v>0</v>
      </c>
      <c r="Q18" s="18" t="n">
        <v>0.37972536</v>
      </c>
      <c r="R18" s="20" t="n">
        <v>0.30661461</v>
      </c>
    </row>
    <row r="19" spans="1:18">
      <c r="A19" s="15" t="s">
        <v>361</v>
      </c>
      <c r="B19" s="17" t="n">
        <v>2808</v>
      </c>
      <c r="C19" s="18">
        <f>(2465.0/B19*100)</f>
        <v/>
      </c>
      <c r="D19" s="19" t="n">
        <v>343</v>
      </c>
      <c r="E19" s="18" t="n">
        <v>52.17185168</v>
      </c>
      <c r="F19" s="20" t="n">
        <v>2.87805618</v>
      </c>
      <c r="G19" s="18" t="n">
        <v>47.33940354</v>
      </c>
      <c r="H19" s="20" t="n">
        <v>2.94064191</v>
      </c>
      <c r="I19" s="18" t="s">
        <v>349</v>
      </c>
      <c r="J19" s="20" t="s">
        <v>349</v>
      </c>
      <c r="K19" s="18" t="n">
        <v>0</v>
      </c>
      <c r="L19" s="20" t="n">
        <v>0</v>
      </c>
      <c r="M19" s="18" t="n">
        <v>0</v>
      </c>
      <c r="N19" s="20" t="n">
        <v>0</v>
      </c>
      <c r="O19" s="18" t="n">
        <v>0</v>
      </c>
      <c r="P19" s="20" t="n">
        <v>0</v>
      </c>
      <c r="Q19" s="18" t="n">
        <v>0.48874478</v>
      </c>
      <c r="R19" s="20" t="n">
        <v>0.35464881</v>
      </c>
    </row>
    <row r="20" spans="1:18">
      <c r="A20" s="15" t="s">
        <v>362</v>
      </c>
      <c r="B20" s="17" t="n">
        <v>1630</v>
      </c>
      <c r="C20" s="18">
        <f>(1425.0/B20*100)</f>
        <v/>
      </c>
      <c r="D20" s="19" t="n">
        <v>205</v>
      </c>
      <c r="E20" s="18" t="n">
        <v>47.91195424</v>
      </c>
      <c r="F20" s="20" t="n">
        <v>3.54074293</v>
      </c>
      <c r="G20" s="18" t="n">
        <v>51.17700505</v>
      </c>
      <c r="H20" s="20" t="n">
        <v>3.53675951</v>
      </c>
      <c r="I20" s="18" t="s">
        <v>349</v>
      </c>
      <c r="J20" s="20" t="s">
        <v>349</v>
      </c>
      <c r="K20" s="18" t="n">
        <v>0.45879685</v>
      </c>
      <c r="L20" s="20" t="n">
        <v>0.45946854</v>
      </c>
      <c r="M20" s="18" t="n">
        <v>0</v>
      </c>
      <c r="N20" s="20" t="n">
        <v>0</v>
      </c>
      <c r="O20" s="18" t="n">
        <v>0</v>
      </c>
      <c r="P20" s="20" t="n">
        <v>0</v>
      </c>
      <c r="Q20" s="18" t="n">
        <v>0.45224385</v>
      </c>
      <c r="R20" s="20" t="n">
        <v>0.45747368</v>
      </c>
    </row>
    <row r="21" spans="1:18">
      <c r="A21" s="15" t="s">
        <v>363</v>
      </c>
      <c r="B21" s="17" t="n">
        <v>2908</v>
      </c>
      <c r="C21" s="18">
        <f>(2436.0/B21*100)</f>
        <v/>
      </c>
      <c r="D21" s="19" t="n">
        <v>472</v>
      </c>
      <c r="E21" s="18" t="n">
        <v>53.44040706</v>
      </c>
      <c r="F21" s="20" t="n">
        <v>2.42675816</v>
      </c>
      <c r="G21" s="18" t="n">
        <v>45.6769974</v>
      </c>
      <c r="H21" s="20" t="n">
        <v>2.39589189</v>
      </c>
      <c r="I21" s="18" t="s">
        <v>349</v>
      </c>
      <c r="J21" s="20" t="s">
        <v>349</v>
      </c>
      <c r="K21" s="18" t="n">
        <v>0</v>
      </c>
      <c r="L21" s="20" t="n">
        <v>0</v>
      </c>
      <c r="M21" s="18" t="n">
        <v>0</v>
      </c>
      <c r="N21" s="20" t="n">
        <v>0</v>
      </c>
      <c r="O21" s="18" t="n">
        <v>0</v>
      </c>
      <c r="P21" s="20" t="n">
        <v>0</v>
      </c>
      <c r="Q21" s="18" t="n">
        <v>0.88259554</v>
      </c>
      <c r="R21" s="20" t="n">
        <v>0.41047693</v>
      </c>
    </row>
    <row r="22" spans="1:18">
      <c r="A22" s="15" t="s">
        <v>364</v>
      </c>
      <c r="B22" s="17" t="n">
        <v>2931</v>
      </c>
      <c r="C22" s="18">
        <f>(2553.0/B22*100)</f>
        <v/>
      </c>
      <c r="D22" s="19" t="n">
        <v>378</v>
      </c>
      <c r="E22" s="18" t="n">
        <v>62.95384124</v>
      </c>
      <c r="F22" s="20" t="n">
        <v>2.51805526</v>
      </c>
      <c r="G22" s="18" t="n">
        <v>35.06684952</v>
      </c>
      <c r="H22" s="20" t="n">
        <v>2.59219378</v>
      </c>
      <c r="I22" s="18" t="s">
        <v>349</v>
      </c>
      <c r="J22" s="20" t="s">
        <v>349</v>
      </c>
      <c r="K22" s="18" t="n">
        <v>0.21406687</v>
      </c>
      <c r="L22" s="20" t="n">
        <v>0.21432987</v>
      </c>
      <c r="M22" s="18" t="n">
        <v>0</v>
      </c>
      <c r="N22" s="20" t="n">
        <v>0</v>
      </c>
      <c r="O22" s="18" t="n">
        <v>0</v>
      </c>
      <c r="P22" s="20" t="n">
        <v>0</v>
      </c>
      <c r="Q22" s="18" t="n">
        <v>1.76524237</v>
      </c>
      <c r="R22" s="20" t="n">
        <v>0.70935138</v>
      </c>
    </row>
    <row r="23" spans="1:18">
      <c r="A23" s="15" t="s">
        <v>365</v>
      </c>
      <c r="B23" s="17" t="n">
        <v>5791</v>
      </c>
      <c r="C23" s="18">
        <f>(5090.0/B23*100)</f>
        <v/>
      </c>
      <c r="D23" s="19" t="n">
        <v>701</v>
      </c>
      <c r="E23" s="18" t="n">
        <v>57.55694234</v>
      </c>
      <c r="F23" s="20" t="n">
        <v>2.51015129</v>
      </c>
      <c r="G23" s="18" t="n">
        <v>42.33160565</v>
      </c>
      <c r="H23" s="20" t="n">
        <v>2.52608528</v>
      </c>
      <c r="I23" s="18" t="s">
        <v>349</v>
      </c>
      <c r="J23" s="20" t="s">
        <v>349</v>
      </c>
      <c r="K23" s="18" t="n">
        <v>0.01198995</v>
      </c>
      <c r="L23" s="20" t="n">
        <v>0.01205831</v>
      </c>
      <c r="M23" s="18" t="n">
        <v>0</v>
      </c>
      <c r="N23" s="20" t="n">
        <v>0</v>
      </c>
      <c r="O23" s="18" t="n">
        <v>0</v>
      </c>
      <c r="P23" s="20" t="n">
        <v>0</v>
      </c>
      <c r="Q23" s="18" t="n">
        <v>0.09946206</v>
      </c>
      <c r="R23" s="20" t="n">
        <v>0.09722873999999999</v>
      </c>
    </row>
    <row r="24" spans="1:18">
      <c r="A24" s="15" t="s">
        <v>366</v>
      </c>
      <c r="B24" s="17" t="n">
        <v>3338</v>
      </c>
      <c r="C24" s="18">
        <f>(2906.0/B24*100)</f>
        <v/>
      </c>
      <c r="D24" s="19" t="n">
        <v>432</v>
      </c>
      <c r="E24" s="18" t="n">
        <v>49.96774922</v>
      </c>
      <c r="F24" s="20" t="n">
        <v>2.53905033</v>
      </c>
      <c r="G24" s="18" t="n">
        <v>48.50603801</v>
      </c>
      <c r="H24" s="20" t="n">
        <v>2.3976569</v>
      </c>
      <c r="I24" s="18" t="s">
        <v>349</v>
      </c>
      <c r="J24" s="20" t="s">
        <v>349</v>
      </c>
      <c r="K24" s="18" t="n">
        <v>0</v>
      </c>
      <c r="L24" s="20" t="n">
        <v>0</v>
      </c>
      <c r="M24" s="18" t="n">
        <v>0</v>
      </c>
      <c r="N24" s="20" t="n">
        <v>0</v>
      </c>
      <c r="O24" s="18" t="n">
        <v>0</v>
      </c>
      <c r="P24" s="20" t="n">
        <v>0</v>
      </c>
      <c r="Q24" s="18" t="n">
        <v>1.52621277</v>
      </c>
      <c r="R24" s="20" t="n">
        <v>0.59586215</v>
      </c>
    </row>
    <row r="25" spans="1:18">
      <c r="A25" s="15" t="s">
        <v>367</v>
      </c>
      <c r="B25" s="17" t="n">
        <v>2912</v>
      </c>
      <c r="C25" s="18">
        <f>(2563.0/B25*100)</f>
        <v/>
      </c>
      <c r="D25" s="19" t="n">
        <v>349</v>
      </c>
      <c r="E25" s="18" t="n">
        <v>54.6704948</v>
      </c>
      <c r="F25" s="20" t="n">
        <v>2.92877535</v>
      </c>
      <c r="G25" s="18" t="n">
        <v>44.13737376</v>
      </c>
      <c r="H25" s="20" t="n">
        <v>3.16932493</v>
      </c>
      <c r="I25" s="18" t="s">
        <v>349</v>
      </c>
      <c r="J25" s="20" t="s">
        <v>349</v>
      </c>
      <c r="K25" s="18" t="n">
        <v>0</v>
      </c>
      <c r="L25" s="20" t="n">
        <v>0</v>
      </c>
      <c r="M25" s="18" t="n">
        <v>0</v>
      </c>
      <c r="N25" s="20" t="n">
        <v>0</v>
      </c>
      <c r="O25" s="18" t="n">
        <v>0</v>
      </c>
      <c r="P25" s="20" t="n">
        <v>0</v>
      </c>
      <c r="Q25" s="18" t="n">
        <v>1.19213143</v>
      </c>
      <c r="R25" s="20" t="n">
        <v>0.6911746600000001</v>
      </c>
    </row>
    <row r="26" spans="1:18">
      <c r="A26" s="15" t="s">
        <v>368</v>
      </c>
      <c r="B26" s="17" t="n">
        <v>2450</v>
      </c>
      <c r="C26" s="18">
        <f>(2161.0/B26*100)</f>
        <v/>
      </c>
      <c r="D26" s="19" t="n">
        <v>289</v>
      </c>
      <c r="E26" s="18" t="n">
        <v>53.35890589</v>
      </c>
      <c r="F26" s="20" t="n">
        <v>3.32648063</v>
      </c>
      <c r="G26" s="18" t="n">
        <v>46.11591139</v>
      </c>
      <c r="H26" s="20" t="n">
        <v>3.34270631</v>
      </c>
      <c r="I26" s="18" t="s">
        <v>349</v>
      </c>
      <c r="J26" s="20" t="s">
        <v>349</v>
      </c>
      <c r="K26" s="18" t="n">
        <v>0</v>
      </c>
      <c r="L26" s="20" t="n">
        <v>0</v>
      </c>
      <c r="M26" s="18" t="n">
        <v>0</v>
      </c>
      <c r="N26" s="20" t="n">
        <v>0</v>
      </c>
      <c r="O26" s="18" t="n">
        <v>0</v>
      </c>
      <c r="P26" s="20" t="n">
        <v>0</v>
      </c>
      <c r="Q26" s="18" t="n">
        <v>0.52518272</v>
      </c>
      <c r="R26" s="20" t="n">
        <v>0.37560508</v>
      </c>
    </row>
    <row r="27" spans="1:18">
      <c r="A27" s="15" t="s">
        <v>369</v>
      </c>
      <c r="B27" s="17" t="n">
        <v>2616</v>
      </c>
      <c r="C27" s="18">
        <f>(2288.0/B27*100)</f>
        <v/>
      </c>
      <c r="D27" s="19" t="n">
        <v>328</v>
      </c>
      <c r="E27" s="18" t="n">
        <v>54.25693022</v>
      </c>
      <c r="F27" s="20" t="n">
        <v>2.75296215</v>
      </c>
      <c r="G27" s="18" t="n">
        <v>44.83181063</v>
      </c>
      <c r="H27" s="20" t="n">
        <v>2.74189897</v>
      </c>
      <c r="I27" s="18" t="s">
        <v>349</v>
      </c>
      <c r="J27" s="20" t="s">
        <v>349</v>
      </c>
      <c r="K27" s="18" t="n">
        <v>0.30342202</v>
      </c>
      <c r="L27" s="20" t="n">
        <v>0.3042617</v>
      </c>
      <c r="M27" s="18" t="n">
        <v>0</v>
      </c>
      <c r="N27" s="20" t="n">
        <v>0</v>
      </c>
      <c r="O27" s="18" t="n">
        <v>0</v>
      </c>
      <c r="P27" s="20" t="n">
        <v>0</v>
      </c>
      <c r="Q27" s="18" t="n">
        <v>0.60783712</v>
      </c>
      <c r="R27" s="20" t="n">
        <v>0.42688618</v>
      </c>
    </row>
    <row r="28" spans="1:18">
      <c r="A28" s="15" t="s">
        <v>370</v>
      </c>
      <c r="B28" s="17" t="n">
        <v>3765</v>
      </c>
      <c r="C28" s="18">
        <f>(3341.0/B28*100)</f>
        <v/>
      </c>
      <c r="D28" s="19" t="n">
        <v>424</v>
      </c>
      <c r="E28" s="18" t="n">
        <v>60.63453389</v>
      </c>
      <c r="F28" s="20" t="n">
        <v>2.64781849</v>
      </c>
      <c r="G28" s="18" t="n">
        <v>37.53056521</v>
      </c>
      <c r="H28" s="20" t="n">
        <v>2.65949571</v>
      </c>
      <c r="I28" s="18" t="s">
        <v>349</v>
      </c>
      <c r="J28" s="20" t="s">
        <v>349</v>
      </c>
      <c r="K28" s="18" t="n">
        <v>0.72701565</v>
      </c>
      <c r="L28" s="20" t="n">
        <v>0.53382886</v>
      </c>
      <c r="M28" s="18" t="n">
        <v>0</v>
      </c>
      <c r="N28" s="20" t="n">
        <v>0</v>
      </c>
      <c r="O28" s="18" t="n">
        <v>0</v>
      </c>
      <c r="P28" s="20" t="n">
        <v>0</v>
      </c>
      <c r="Q28" s="18" t="n">
        <v>1.10788525</v>
      </c>
      <c r="R28" s="20" t="n">
        <v>0.44500411</v>
      </c>
    </row>
    <row r="29" spans="1:18">
      <c r="A29" s="15" t="s">
        <v>371</v>
      </c>
      <c r="B29" s="17" t="n">
        <v>2685</v>
      </c>
      <c r="C29" s="18">
        <f>(2389.0/B29*100)</f>
        <v/>
      </c>
      <c r="D29" s="19" t="n">
        <v>296</v>
      </c>
      <c r="E29" s="18" t="n">
        <v>53.92995863</v>
      </c>
      <c r="F29" s="20" t="n">
        <v>2.89994777</v>
      </c>
      <c r="G29" s="18" t="n">
        <v>45.35647568</v>
      </c>
      <c r="H29" s="20" t="n">
        <v>2.95507535</v>
      </c>
      <c r="I29" s="18" t="s">
        <v>349</v>
      </c>
      <c r="J29" s="20" t="s">
        <v>349</v>
      </c>
      <c r="K29" s="18" t="n">
        <v>0.34551911</v>
      </c>
      <c r="L29" s="20" t="n">
        <v>0.34516879</v>
      </c>
      <c r="M29" s="18" t="n">
        <v>0</v>
      </c>
      <c r="N29" s="20" t="n">
        <v>0</v>
      </c>
      <c r="O29" s="18" t="n">
        <v>0</v>
      </c>
      <c r="P29" s="20" t="n">
        <v>0</v>
      </c>
      <c r="Q29" s="18" t="n">
        <v>0.36804658</v>
      </c>
      <c r="R29" s="20" t="n">
        <v>0.34462372</v>
      </c>
    </row>
    <row r="30" spans="1:18">
      <c r="A30" s="15" t="s">
        <v>372</v>
      </c>
      <c r="B30" s="17" t="n">
        <v>2263</v>
      </c>
      <c r="C30" s="18">
        <f>(1979.0/B30*100)</f>
        <v/>
      </c>
      <c r="D30" s="19" t="n">
        <v>284</v>
      </c>
      <c r="E30" s="18" t="n">
        <v>53.62140691</v>
      </c>
      <c r="F30" s="20" t="n">
        <v>3.31081532</v>
      </c>
      <c r="G30" s="18" t="n">
        <v>45.94722373</v>
      </c>
      <c r="H30" s="20" t="n">
        <v>3.27708379</v>
      </c>
      <c r="I30" s="18" t="s">
        <v>349</v>
      </c>
      <c r="J30" s="20" t="s">
        <v>349</v>
      </c>
      <c r="K30" s="18" t="n">
        <v>0</v>
      </c>
      <c r="L30" s="20" t="n">
        <v>0</v>
      </c>
      <c r="M30" s="18" t="n">
        <v>0</v>
      </c>
      <c r="N30" s="20" t="n">
        <v>0</v>
      </c>
      <c r="O30" s="18" t="n">
        <v>0</v>
      </c>
      <c r="P30" s="20" t="n">
        <v>0</v>
      </c>
      <c r="Q30" s="18" t="n">
        <v>0.43136936</v>
      </c>
      <c r="R30" s="20" t="n">
        <v>0.41150534</v>
      </c>
    </row>
    <row r="31" spans="1:18">
      <c r="A31" s="15" t="s">
        <v>373</v>
      </c>
      <c r="B31" s="17" t="n">
        <v>2750</v>
      </c>
      <c r="C31" s="18">
        <f>(2409.0/B31*100)</f>
        <v/>
      </c>
      <c r="D31" s="19" t="n">
        <v>341</v>
      </c>
      <c r="E31" s="18" t="n">
        <v>57.79396281</v>
      </c>
      <c r="F31" s="20" t="n">
        <v>2.59547029</v>
      </c>
      <c r="G31" s="18" t="n">
        <v>41.02364662</v>
      </c>
      <c r="H31" s="20" t="n">
        <v>2.54624664</v>
      </c>
      <c r="I31" s="18" t="s">
        <v>349</v>
      </c>
      <c r="J31" s="20" t="s">
        <v>349</v>
      </c>
      <c r="K31" s="18" t="n">
        <v>0.2802493</v>
      </c>
      <c r="L31" s="20" t="n">
        <v>0.26928331</v>
      </c>
      <c r="M31" s="18" t="n">
        <v>0</v>
      </c>
      <c r="N31" s="20" t="n">
        <v>0</v>
      </c>
      <c r="O31" s="18" t="n">
        <v>0</v>
      </c>
      <c r="P31" s="20" t="n">
        <v>0</v>
      </c>
      <c r="Q31" s="18" t="n">
        <v>0.90214127</v>
      </c>
      <c r="R31" s="20" t="n">
        <v>0.51043567</v>
      </c>
    </row>
    <row r="32" spans="1:18">
      <c r="A32" s="15" t="s">
        <v>374</v>
      </c>
      <c r="B32" s="17" t="n">
        <v>2269</v>
      </c>
      <c r="C32" s="18">
        <f>(1870.0/B32*100)</f>
        <v/>
      </c>
      <c r="D32" s="19" t="n">
        <v>399</v>
      </c>
      <c r="E32" s="18" t="n">
        <v>58.88848663</v>
      </c>
      <c r="F32" s="20" t="n">
        <v>2.2368558</v>
      </c>
      <c r="G32" s="18" t="n">
        <v>40.43967501</v>
      </c>
      <c r="H32" s="20" t="n">
        <v>2.22175666</v>
      </c>
      <c r="I32" s="18" t="s">
        <v>349</v>
      </c>
      <c r="J32" s="20" t="s">
        <v>349</v>
      </c>
      <c r="K32" s="18" t="n">
        <v>0</v>
      </c>
      <c r="L32" s="20" t="n">
        <v>0</v>
      </c>
      <c r="M32" s="18" t="n">
        <v>0</v>
      </c>
      <c r="N32" s="20" t="n">
        <v>0</v>
      </c>
      <c r="O32" s="18" t="n">
        <v>0</v>
      </c>
      <c r="P32" s="20" t="n">
        <v>0</v>
      </c>
      <c r="Q32" s="18" t="n">
        <v>0.67183835</v>
      </c>
      <c r="R32" s="20" t="n">
        <v>0.38493187</v>
      </c>
    </row>
    <row r="33" spans="1:18">
      <c r="A33" s="15" t="s">
        <v>375</v>
      </c>
      <c r="B33" s="17" t="n">
        <v>3674</v>
      </c>
      <c r="C33" s="18">
        <f>(3234.0/B33*100)</f>
        <v/>
      </c>
      <c r="D33" s="19" t="n">
        <v>440</v>
      </c>
      <c r="E33" s="18" t="n">
        <v>56.46967202</v>
      </c>
      <c r="F33" s="20" t="n">
        <v>2.76210224</v>
      </c>
      <c r="G33" s="18" t="n">
        <v>42.95938027</v>
      </c>
      <c r="H33" s="20" t="n">
        <v>2.73662421</v>
      </c>
      <c r="I33" s="18" t="s">
        <v>349</v>
      </c>
      <c r="J33" s="20" t="s">
        <v>349</v>
      </c>
      <c r="K33" s="18" t="n">
        <v>0.42427981</v>
      </c>
      <c r="L33" s="20" t="n">
        <v>0.43390447</v>
      </c>
      <c r="M33" s="18" t="n">
        <v>0</v>
      </c>
      <c r="N33" s="20" t="n">
        <v>0</v>
      </c>
      <c r="O33" s="18" t="n">
        <v>0</v>
      </c>
      <c r="P33" s="20" t="n">
        <v>0</v>
      </c>
      <c r="Q33" s="18" t="n">
        <v>0.1466679</v>
      </c>
      <c r="R33" s="20" t="n">
        <v>0.10539182</v>
      </c>
    </row>
    <row r="34" spans="1:18">
      <c r="A34" s="15" t="s">
        <v>376</v>
      </c>
      <c r="B34" s="17" t="n">
        <v>3315</v>
      </c>
      <c r="C34" s="18">
        <f>(2901.0/B34*100)</f>
        <v/>
      </c>
      <c r="D34" s="19" t="n">
        <v>414</v>
      </c>
      <c r="E34" s="18" t="n">
        <v>57.70696496</v>
      </c>
      <c r="F34" s="20" t="n">
        <v>2.44429514</v>
      </c>
      <c r="G34" s="18" t="n">
        <v>41.30729015</v>
      </c>
      <c r="H34" s="20" t="n">
        <v>2.47241588</v>
      </c>
      <c r="I34" s="18" t="s">
        <v>349</v>
      </c>
      <c r="J34" s="20" t="s">
        <v>349</v>
      </c>
      <c r="K34" s="18" t="n">
        <v>0</v>
      </c>
      <c r="L34" s="20" t="n">
        <v>0</v>
      </c>
      <c r="M34" s="18" t="n">
        <v>0</v>
      </c>
      <c r="N34" s="20" t="n">
        <v>0</v>
      </c>
      <c r="O34" s="18" t="n">
        <v>0</v>
      </c>
      <c r="P34" s="20" t="n">
        <v>0</v>
      </c>
      <c r="Q34" s="18" t="n">
        <v>0.98574489</v>
      </c>
      <c r="R34" s="20" t="n">
        <v>0.5033106000000001</v>
      </c>
    </row>
    <row r="35" spans="1:18">
      <c r="A35" s="15" t="s">
        <v>377</v>
      </c>
      <c r="B35" s="17" t="n">
        <v>3505</v>
      </c>
      <c r="C35" s="18">
        <f>(3061.0/B35*100)</f>
        <v/>
      </c>
      <c r="D35" s="19" t="n">
        <v>444</v>
      </c>
      <c r="E35" s="18" t="n">
        <v>54.59600398</v>
      </c>
      <c r="F35" s="20" t="n">
        <v>2.88562121</v>
      </c>
      <c r="G35" s="18" t="n">
        <v>43.98219855</v>
      </c>
      <c r="H35" s="20" t="n">
        <v>2.7841263</v>
      </c>
      <c r="I35" s="18" t="s">
        <v>349</v>
      </c>
      <c r="J35" s="20" t="s">
        <v>349</v>
      </c>
      <c r="K35" s="18" t="n">
        <v>0.21989663</v>
      </c>
      <c r="L35" s="20" t="n">
        <v>0.15842578</v>
      </c>
      <c r="M35" s="18" t="n">
        <v>0</v>
      </c>
      <c r="N35" s="20" t="n">
        <v>0</v>
      </c>
      <c r="O35" s="18" t="n">
        <v>0</v>
      </c>
      <c r="P35" s="20" t="n">
        <v>0</v>
      </c>
      <c r="Q35" s="18" t="n">
        <v>1.20190084</v>
      </c>
      <c r="R35" s="20" t="n">
        <v>0.889549</v>
      </c>
    </row>
    <row r="36" spans="1:18">
      <c r="A36" s="15" t="s">
        <v>378</v>
      </c>
      <c r="B36" s="17" t="n">
        <v>3332</v>
      </c>
      <c r="C36" s="18">
        <f>(2919.0/B36*100)</f>
        <v/>
      </c>
      <c r="D36" s="19" t="n">
        <v>413</v>
      </c>
      <c r="E36" s="18" t="n">
        <v>56.32119076</v>
      </c>
      <c r="F36" s="20" t="n">
        <v>2.7323015</v>
      </c>
      <c r="G36" s="18" t="n">
        <v>42.51838525</v>
      </c>
      <c r="H36" s="20" t="n">
        <v>2.62850151</v>
      </c>
      <c r="I36" s="18" t="s">
        <v>349</v>
      </c>
      <c r="J36" s="20" t="s">
        <v>349</v>
      </c>
      <c r="K36" s="18" t="n">
        <v>0</v>
      </c>
      <c r="L36" s="20" t="n">
        <v>0</v>
      </c>
      <c r="M36" s="18" t="n">
        <v>0</v>
      </c>
      <c r="N36" s="20" t="n">
        <v>0</v>
      </c>
      <c r="O36" s="18" t="n">
        <v>0</v>
      </c>
      <c r="P36" s="20" t="n">
        <v>0</v>
      </c>
      <c r="Q36" s="18" t="n">
        <v>1.16042399</v>
      </c>
      <c r="R36" s="20" t="n">
        <v>0.53118722</v>
      </c>
    </row>
    <row r="37" spans="1:18">
      <c r="A37" s="15" t="s">
        <v>379</v>
      </c>
      <c r="B37" s="17" t="n">
        <v>2727</v>
      </c>
      <c r="C37" s="18">
        <f>(2399.0/B37*100)</f>
        <v/>
      </c>
      <c r="D37" s="19" t="n">
        <v>328</v>
      </c>
      <c r="E37" s="18" t="n">
        <v>51.94940406</v>
      </c>
      <c r="F37" s="20" t="n">
        <v>3.01730671</v>
      </c>
      <c r="G37" s="18" t="n">
        <v>45.8043602</v>
      </c>
      <c r="H37" s="20" t="n">
        <v>3.1588152</v>
      </c>
      <c r="I37" s="18" t="s">
        <v>349</v>
      </c>
      <c r="J37" s="20" t="s">
        <v>349</v>
      </c>
      <c r="K37" s="18" t="n">
        <v>0.54057849</v>
      </c>
      <c r="L37" s="20" t="n">
        <v>0.38711903</v>
      </c>
      <c r="M37" s="18" t="n">
        <v>0</v>
      </c>
      <c r="N37" s="20" t="n">
        <v>0</v>
      </c>
      <c r="O37" s="18" t="n">
        <v>0</v>
      </c>
      <c r="P37" s="20" t="n">
        <v>0</v>
      </c>
      <c r="Q37" s="18" t="n">
        <v>1.70565725</v>
      </c>
      <c r="R37" s="20" t="n">
        <v>0.7656646499999999</v>
      </c>
    </row>
    <row r="38" spans="1:18">
      <c r="A38" s="15" t="s">
        <v>380</v>
      </c>
      <c r="B38" s="17" t="n">
        <v>3053</v>
      </c>
      <c r="C38" s="18">
        <f>(2586.0/B38*100)</f>
        <v/>
      </c>
      <c r="D38" s="19" t="n">
        <v>467</v>
      </c>
      <c r="E38" s="18" t="n">
        <v>53.14312095</v>
      </c>
      <c r="F38" s="20" t="n">
        <v>2.68885161</v>
      </c>
      <c r="G38" s="18" t="n">
        <v>45.74195832</v>
      </c>
      <c r="H38" s="20" t="n">
        <v>2.69747024</v>
      </c>
      <c r="I38" s="18" t="s">
        <v>349</v>
      </c>
      <c r="J38" s="20" t="s">
        <v>349</v>
      </c>
      <c r="K38" s="18" t="n">
        <v>0</v>
      </c>
      <c r="L38" s="20" t="n">
        <v>0</v>
      </c>
      <c r="M38" s="18" t="n">
        <v>0</v>
      </c>
      <c r="N38" s="20" t="n">
        <v>0</v>
      </c>
      <c r="O38" s="18" t="n">
        <v>0</v>
      </c>
      <c r="P38" s="20" t="n">
        <v>0</v>
      </c>
      <c r="Q38" s="18" t="n">
        <v>1.11492073</v>
      </c>
      <c r="R38" s="20" t="n">
        <v>0.49271665</v>
      </c>
    </row>
    <row r="39" spans="1:18">
      <c r="A39" s="15" t="s">
        <v>381</v>
      </c>
      <c r="B39" s="17" t="n">
        <v>2957</v>
      </c>
      <c r="C39" s="18">
        <f>(2593.0/B39*100)</f>
        <v/>
      </c>
      <c r="D39" s="19" t="n">
        <v>364</v>
      </c>
      <c r="E39" s="18" t="n">
        <v>67.61024556</v>
      </c>
      <c r="F39" s="20" t="n">
        <v>2.88953511</v>
      </c>
      <c r="G39" s="18" t="n">
        <v>29.49977559</v>
      </c>
      <c r="H39" s="20" t="n">
        <v>2.76663734</v>
      </c>
      <c r="I39" s="18" t="s">
        <v>349</v>
      </c>
      <c r="J39" s="20" t="s">
        <v>349</v>
      </c>
      <c r="K39" s="18" t="n">
        <v>0.34279545</v>
      </c>
      <c r="L39" s="20" t="n">
        <v>0.34334112</v>
      </c>
      <c r="M39" s="18" t="n">
        <v>0</v>
      </c>
      <c r="N39" s="20" t="n">
        <v>0</v>
      </c>
      <c r="O39" s="18" t="n">
        <v>0</v>
      </c>
      <c r="P39" s="20" t="n">
        <v>0</v>
      </c>
      <c r="Q39" s="18" t="n">
        <v>2.5471834</v>
      </c>
      <c r="R39" s="20" t="n">
        <v>1.12728304</v>
      </c>
    </row>
    <row r="40" spans="1:18">
      <c r="A40" s="15" t="s">
        <v>382</v>
      </c>
      <c r="B40" s="17" t="n">
        <v>7235</v>
      </c>
      <c r="C40" s="18">
        <f>(6331.0/B40*100)</f>
        <v/>
      </c>
      <c r="D40" s="19" t="n">
        <v>904</v>
      </c>
      <c r="E40" s="18" t="n">
        <v>57.81227024</v>
      </c>
      <c r="F40" s="20" t="n">
        <v>2.25141453</v>
      </c>
      <c r="G40" s="18" t="n">
        <v>41.97476656</v>
      </c>
      <c r="H40" s="20" t="n">
        <v>2.23453205</v>
      </c>
      <c r="I40" s="18" t="s">
        <v>349</v>
      </c>
      <c r="J40" s="20" t="s">
        <v>349</v>
      </c>
      <c r="K40" s="18" t="n">
        <v>0</v>
      </c>
      <c r="L40" s="20" t="n">
        <v>0</v>
      </c>
      <c r="M40" s="18" t="n">
        <v>0</v>
      </c>
      <c r="N40" s="20" t="n">
        <v>0</v>
      </c>
      <c r="O40" s="18" t="n">
        <v>0</v>
      </c>
      <c r="P40" s="20" t="n">
        <v>0</v>
      </c>
      <c r="Q40" s="18" t="n">
        <v>0.2129632</v>
      </c>
      <c r="R40" s="20" t="n">
        <v>0.08590425</v>
      </c>
    </row>
    <row r="41" spans="1:18">
      <c r="A41" s="15" t="s">
        <v>383</v>
      </c>
      <c r="B41" s="17" t="n">
        <v>2858</v>
      </c>
      <c r="C41" s="18">
        <f>(2510.0/B41*100)</f>
        <v/>
      </c>
      <c r="D41" s="19" t="n">
        <v>348</v>
      </c>
      <c r="E41" s="18" t="n">
        <v>58.28506551</v>
      </c>
      <c r="F41" s="20" t="n">
        <v>2.43553039</v>
      </c>
      <c r="G41" s="18" t="n">
        <v>40.46115764</v>
      </c>
      <c r="H41" s="20" t="n">
        <v>2.43842939</v>
      </c>
      <c r="I41" s="18" t="s">
        <v>349</v>
      </c>
      <c r="J41" s="20" t="s">
        <v>349</v>
      </c>
      <c r="K41" s="18" t="n">
        <v>0.82741757</v>
      </c>
      <c r="L41" s="20" t="n">
        <v>0.83723752</v>
      </c>
      <c r="M41" s="18" t="n">
        <v>0</v>
      </c>
      <c r="N41" s="20" t="n">
        <v>0</v>
      </c>
      <c r="O41" s="18" t="n">
        <v>0</v>
      </c>
      <c r="P41" s="20" t="n">
        <v>0</v>
      </c>
      <c r="Q41" s="18" t="n">
        <v>0.42635928</v>
      </c>
      <c r="R41" s="20" t="n">
        <v>0.28044562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(9771.0/B46*100)</f>
        <v/>
      </c>
      <c r="D46" s="19" t="n">
        <v>1297</v>
      </c>
      <c r="E46" s="18" t="n">
        <v>66.07047685000001</v>
      </c>
      <c r="F46" s="20" t="n">
        <v>1.57397832</v>
      </c>
      <c r="G46" s="18" t="n">
        <v>31.18404321</v>
      </c>
      <c r="H46" s="20" t="n">
        <v>1.53324995</v>
      </c>
      <c r="I46" s="18" t="s">
        <v>349</v>
      </c>
      <c r="J46" s="20" t="s">
        <v>349</v>
      </c>
      <c r="K46" s="18" t="n">
        <v>0.28320005</v>
      </c>
      <c r="L46" s="20" t="n">
        <v>0.14713543</v>
      </c>
      <c r="M46" s="18" t="n">
        <v>0</v>
      </c>
      <c r="N46" s="20" t="n">
        <v>0</v>
      </c>
      <c r="O46" s="18" t="n">
        <v>0</v>
      </c>
      <c r="P46" s="20" t="n">
        <v>0</v>
      </c>
      <c r="Q46" s="18" t="n">
        <v>2.46227988</v>
      </c>
      <c r="R46" s="20" t="n">
        <v>0.7247623</v>
      </c>
    </row>
    <row r="47" spans="1:18">
      <c r="A47" s="15" t="s">
        <v>389</v>
      </c>
      <c r="B47" s="17" t="n">
        <v>3105</v>
      </c>
      <c r="C47" s="18">
        <f>(2723.0/B47*100)</f>
        <v/>
      </c>
      <c r="D47" s="19" t="n">
        <v>382</v>
      </c>
      <c r="E47" s="18" t="n">
        <v>61.75552624</v>
      </c>
      <c r="F47" s="20" t="n">
        <v>2.60979716</v>
      </c>
      <c r="G47" s="18" t="n">
        <v>36.95100834</v>
      </c>
      <c r="H47" s="20" t="n">
        <v>2.68623601</v>
      </c>
      <c r="I47" s="18" t="s">
        <v>349</v>
      </c>
      <c r="J47" s="20" t="s">
        <v>349</v>
      </c>
      <c r="K47" s="18" t="n">
        <v>0</v>
      </c>
      <c r="L47" s="20" t="n">
        <v>0</v>
      </c>
      <c r="M47" s="18" t="n">
        <v>0</v>
      </c>
      <c r="N47" s="20" t="n">
        <v>0</v>
      </c>
      <c r="O47" s="18" t="n">
        <v>0</v>
      </c>
      <c r="P47" s="20" t="n">
        <v>0</v>
      </c>
      <c r="Q47" s="18" t="n">
        <v>1.29346542</v>
      </c>
      <c r="R47" s="20" t="n">
        <v>0.57137287</v>
      </c>
    </row>
    <row r="48" spans="1:18">
      <c r="A48" s="15" t="s">
        <v>390</v>
      </c>
      <c r="B48" s="17" t="n">
        <v>5159</v>
      </c>
      <c r="C48" s="18">
        <f>(4532.0/B48*100)</f>
        <v/>
      </c>
      <c r="D48" s="19" t="n">
        <v>627</v>
      </c>
      <c r="E48" s="18" t="n">
        <v>49.2017991</v>
      </c>
      <c r="F48" s="20" t="n">
        <v>2.65905704</v>
      </c>
      <c r="G48" s="18" t="n">
        <v>50.78763345</v>
      </c>
      <c r="H48" s="20" t="n">
        <v>2.65703458</v>
      </c>
      <c r="I48" s="18" t="s">
        <v>349</v>
      </c>
      <c r="J48" s="20" t="s">
        <v>349</v>
      </c>
      <c r="K48" s="18" t="n">
        <v>0.00249373</v>
      </c>
      <c r="L48" s="20" t="n">
        <v>0.00178172</v>
      </c>
      <c r="M48" s="18" t="n">
        <v>0</v>
      </c>
      <c r="N48" s="20" t="n">
        <v>0</v>
      </c>
      <c r="O48" s="18" t="n">
        <v>0</v>
      </c>
      <c r="P48" s="20" t="n">
        <v>0</v>
      </c>
      <c r="Q48" s="18" t="n">
        <v>0.00807372</v>
      </c>
      <c r="R48" s="20" t="n">
        <v>0.00846775</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(4933.0/B50*100)</f>
        <v/>
      </c>
      <c r="D50" s="19" t="n">
        <v>704</v>
      </c>
      <c r="E50" s="18" t="n">
        <v>66.00569163999999</v>
      </c>
      <c r="F50" s="20" t="n">
        <v>2.19609037</v>
      </c>
      <c r="G50" s="18" t="n">
        <v>33.17339407</v>
      </c>
      <c r="H50" s="20" t="n">
        <v>2.30577388</v>
      </c>
      <c r="I50" s="18" t="s">
        <v>349</v>
      </c>
      <c r="J50" s="20" t="s">
        <v>349</v>
      </c>
      <c r="K50" s="18" t="n">
        <v>0.09344872</v>
      </c>
      <c r="L50" s="20" t="n">
        <v>0.06938352</v>
      </c>
      <c r="M50" s="18" t="n">
        <v>0</v>
      </c>
      <c r="N50" s="20" t="n">
        <v>0</v>
      </c>
      <c r="O50" s="18" t="n">
        <v>0</v>
      </c>
      <c r="P50" s="20" t="n">
        <v>0</v>
      </c>
      <c r="Q50" s="18" t="n">
        <v>0.72746557</v>
      </c>
      <c r="R50" s="20" t="n">
        <v>0.42467878</v>
      </c>
    </row>
    <row r="51" spans="1:18">
      <c r="A51" s="15" t="s">
        <v>393</v>
      </c>
      <c r="B51" s="17" t="n">
        <v>3372</v>
      </c>
      <c r="C51" s="18">
        <f>(3012.0/B51*100)</f>
        <v/>
      </c>
      <c r="D51" s="19" t="n">
        <v>360</v>
      </c>
      <c r="E51" s="18" t="n">
        <v>65.49795709999999</v>
      </c>
      <c r="F51" s="20" t="n">
        <v>2.56468027</v>
      </c>
      <c r="G51" s="18" t="n">
        <v>32.39728803</v>
      </c>
      <c r="H51" s="20" t="n">
        <v>2.67508701</v>
      </c>
      <c r="I51" s="18" t="s">
        <v>349</v>
      </c>
      <c r="J51" s="20" t="s">
        <v>349</v>
      </c>
      <c r="K51" s="18" t="n">
        <v>0</v>
      </c>
      <c r="L51" s="20" t="n">
        <v>0</v>
      </c>
      <c r="M51" s="18" t="n">
        <v>0</v>
      </c>
      <c r="N51" s="20" t="n">
        <v>0</v>
      </c>
      <c r="O51" s="18" t="n">
        <v>0</v>
      </c>
      <c r="P51" s="20" t="n">
        <v>0</v>
      </c>
      <c r="Q51" s="18" t="n">
        <v>2.10475486</v>
      </c>
      <c r="R51" s="20" t="n">
        <v>0.80093211</v>
      </c>
    </row>
    <row r="52" spans="1:18">
      <c r="A52" s="15" t="s">
        <v>394</v>
      </c>
      <c r="B52" s="17" t="n">
        <v>2796</v>
      </c>
      <c r="C52" s="18">
        <f>(2459.0/B52*100)</f>
        <v/>
      </c>
      <c r="D52" s="19" t="n">
        <v>337</v>
      </c>
      <c r="E52" s="18" t="n">
        <v>56.02669218</v>
      </c>
      <c r="F52" s="20" t="n">
        <v>2.82226932</v>
      </c>
      <c r="G52" s="18" t="n">
        <v>41.52537053</v>
      </c>
      <c r="H52" s="20" t="n">
        <v>2.73669788</v>
      </c>
      <c r="I52" s="18" t="s">
        <v>349</v>
      </c>
      <c r="J52" s="20" t="s">
        <v>349</v>
      </c>
      <c r="K52" s="18" t="n">
        <v>0</v>
      </c>
      <c r="L52" s="20" t="n">
        <v>0</v>
      </c>
      <c r="M52" s="18" t="n">
        <v>0</v>
      </c>
      <c r="N52" s="20" t="n">
        <v>0</v>
      </c>
      <c r="O52" s="18" t="n">
        <v>0</v>
      </c>
      <c r="P52" s="20" t="n">
        <v>0</v>
      </c>
      <c r="Q52" s="18" t="n">
        <v>2.44793729</v>
      </c>
      <c r="R52" s="20" t="n">
        <v>0.85225471</v>
      </c>
    </row>
    <row r="53" spans="1:18">
      <c r="A53" s="15" t="s">
        <v>395</v>
      </c>
      <c r="B53" s="17" t="n">
        <v>2811</v>
      </c>
      <c r="C53" s="18">
        <f>(2464.0/B53*100)</f>
        <v/>
      </c>
      <c r="D53" s="19" t="n">
        <v>347</v>
      </c>
      <c r="E53" s="18" t="n">
        <v>59.37956162</v>
      </c>
      <c r="F53" s="20" t="n">
        <v>2.68763405</v>
      </c>
      <c r="G53" s="18" t="n">
        <v>38.7322747</v>
      </c>
      <c r="H53" s="20" t="n">
        <v>2.6784834</v>
      </c>
      <c r="I53" s="18" t="s">
        <v>349</v>
      </c>
      <c r="J53" s="20" t="s">
        <v>349</v>
      </c>
      <c r="K53" s="18" t="n">
        <v>0.20743227</v>
      </c>
      <c r="L53" s="20" t="n">
        <v>0.20654667</v>
      </c>
      <c r="M53" s="18" t="n">
        <v>0</v>
      </c>
      <c r="N53" s="20" t="n">
        <v>0</v>
      </c>
      <c r="O53" s="18" t="n">
        <v>0</v>
      </c>
      <c r="P53" s="20" t="n">
        <v>0</v>
      </c>
      <c r="Q53" s="18" t="n">
        <v>1.6807314</v>
      </c>
      <c r="R53" s="20" t="n">
        <v>0.6395663700000001</v>
      </c>
    </row>
    <row r="54" spans="1:18">
      <c r="A54" s="15" t="s">
        <v>396</v>
      </c>
      <c r="B54" s="17" t="n">
        <v>2266</v>
      </c>
      <c r="C54" s="18">
        <f>(1881.0/B54*100)</f>
        <v/>
      </c>
      <c r="D54" s="19" t="n">
        <v>385</v>
      </c>
      <c r="E54" s="18" t="n">
        <v>70.98177635</v>
      </c>
      <c r="F54" s="20" t="n">
        <v>2.92939294</v>
      </c>
      <c r="G54" s="18" t="n">
        <v>21.54276873</v>
      </c>
      <c r="H54" s="20" t="n">
        <v>2.60773609</v>
      </c>
      <c r="I54" s="18" t="s">
        <v>349</v>
      </c>
      <c r="J54" s="20" t="s">
        <v>349</v>
      </c>
      <c r="K54" s="18" t="n">
        <v>2.51441147</v>
      </c>
      <c r="L54" s="20" t="n">
        <v>1.01438416</v>
      </c>
      <c r="M54" s="18" t="n">
        <v>0</v>
      </c>
      <c r="N54" s="20" t="n">
        <v>0</v>
      </c>
      <c r="O54" s="18" t="n">
        <v>0</v>
      </c>
      <c r="P54" s="20" t="n">
        <v>0</v>
      </c>
      <c r="Q54" s="18" t="n">
        <v>4.96104345</v>
      </c>
      <c r="R54" s="20" t="n">
        <v>1.19602911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(2371.0/B56*100)</f>
        <v/>
      </c>
      <c r="D56" s="19" t="n">
        <v>313</v>
      </c>
      <c r="E56" s="18" t="n">
        <v>52.04117994</v>
      </c>
      <c r="F56" s="20" t="n">
        <v>3.14607356</v>
      </c>
      <c r="G56" s="18" t="n">
        <v>47.6446852</v>
      </c>
      <c r="H56" s="20" t="n">
        <v>3.11744527</v>
      </c>
      <c r="I56" s="18" t="s">
        <v>349</v>
      </c>
      <c r="J56" s="20" t="s">
        <v>349</v>
      </c>
      <c r="K56" s="18" t="n">
        <v>0</v>
      </c>
      <c r="L56" s="20" t="n">
        <v>0</v>
      </c>
      <c r="M56" s="18" t="n">
        <v>0</v>
      </c>
      <c r="N56" s="20" t="n">
        <v>0</v>
      </c>
      <c r="O56" s="18" t="n">
        <v>0</v>
      </c>
      <c r="P56" s="20" t="n">
        <v>0</v>
      </c>
      <c r="Q56" s="18" t="n">
        <v>0.31413487</v>
      </c>
      <c r="R56" s="20" t="n">
        <v>0.31581333</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(2928.0/B61*100)</f>
        <v/>
      </c>
      <c r="D61" s="19" t="n">
        <v>396</v>
      </c>
      <c r="E61" s="18" t="n">
        <v>48.78790504</v>
      </c>
      <c r="F61" s="20" t="n">
        <v>2.47797231</v>
      </c>
      <c r="G61" s="18" t="n">
        <v>50.17365113</v>
      </c>
      <c r="H61" s="20" t="n">
        <v>2.55490381</v>
      </c>
      <c r="I61" s="18" t="s">
        <v>349</v>
      </c>
      <c r="J61" s="20" t="s">
        <v>349</v>
      </c>
      <c r="K61" s="18" t="n">
        <v>0</v>
      </c>
      <c r="L61" s="20" t="n">
        <v>0</v>
      </c>
      <c r="M61" s="18" t="n">
        <v>0</v>
      </c>
      <c r="N61" s="20" t="n">
        <v>0</v>
      </c>
      <c r="O61" s="18" t="n">
        <v>0</v>
      </c>
      <c r="P61" s="20" t="n">
        <v>0</v>
      </c>
      <c r="Q61" s="18" t="n">
        <v>1.03844383</v>
      </c>
      <c r="R61" s="20" t="n">
        <v>0.61442321</v>
      </c>
    </row>
    <row r="62" spans="1:18">
      <c r="A62" s="15" t="s">
        <v>404</v>
      </c>
      <c r="B62" s="17" t="n">
        <v>2246</v>
      </c>
      <c r="C62" s="18">
        <f>(2001.0/B62*100)</f>
        <v/>
      </c>
      <c r="D62" s="19" t="n">
        <v>245</v>
      </c>
      <c r="E62" s="18" t="n">
        <v>39.64485733</v>
      </c>
      <c r="F62" s="20" t="n">
        <v>2.73473158</v>
      </c>
      <c r="G62" s="18" t="n">
        <v>60.35514267</v>
      </c>
      <c r="H62" s="20" t="n">
        <v>2.73473158</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(2540.0/B66*100)</f>
        <v/>
      </c>
      <c r="D66" s="19" t="n">
        <v>354</v>
      </c>
      <c r="E66" s="18" t="n">
        <v>62.92877808</v>
      </c>
      <c r="F66" s="20" t="n">
        <v>2.58596867</v>
      </c>
      <c r="G66" s="18" t="n">
        <v>34.7362365</v>
      </c>
      <c r="H66" s="20" t="n">
        <v>2.52509682</v>
      </c>
      <c r="I66" s="18" t="s">
        <v>349</v>
      </c>
      <c r="J66" s="20" t="s">
        <v>349</v>
      </c>
      <c r="K66" s="18" t="n">
        <v>0.2764483</v>
      </c>
      <c r="L66" s="20" t="n">
        <v>0.27711714</v>
      </c>
      <c r="M66" s="18" t="n">
        <v>0</v>
      </c>
      <c r="N66" s="20" t="n">
        <v>0</v>
      </c>
      <c r="O66" s="18" t="n">
        <v>0</v>
      </c>
      <c r="P66" s="20" t="n">
        <v>0</v>
      </c>
      <c r="Q66" s="18" t="n">
        <v>2.05853713</v>
      </c>
      <c r="R66" s="20" t="n">
        <v>0.72803798</v>
      </c>
    </row>
    <row r="67" spans="1:18">
      <c r="A67" s="15" t="s">
        <v>409</v>
      </c>
      <c r="B67" s="17" t="n">
        <v>3511</v>
      </c>
      <c r="C67" s="18">
        <f>(3099.0/B67*100)</f>
        <v/>
      </c>
      <c r="D67" s="19" t="n">
        <v>412</v>
      </c>
      <c r="E67" s="18" t="n">
        <v>65.5133529</v>
      </c>
      <c r="F67" s="20" t="n">
        <v>2.55736406</v>
      </c>
      <c r="G67" s="18" t="n">
        <v>30.02286841</v>
      </c>
      <c r="H67" s="20" t="n">
        <v>2.35247409</v>
      </c>
      <c r="I67" s="18" t="s">
        <v>349</v>
      </c>
      <c r="J67" s="20" t="s">
        <v>349</v>
      </c>
      <c r="K67" s="18" t="n">
        <v>0</v>
      </c>
      <c r="L67" s="20" t="n">
        <v>0</v>
      </c>
      <c r="M67" s="18" t="n">
        <v>0</v>
      </c>
      <c r="N67" s="20" t="n">
        <v>0</v>
      </c>
      <c r="O67" s="18" t="n">
        <v>0</v>
      </c>
      <c r="P67" s="20" t="n">
        <v>0</v>
      </c>
      <c r="Q67" s="18" t="n">
        <v>4.46377869</v>
      </c>
      <c r="R67" s="20" t="n">
        <v>1.02139896</v>
      </c>
    </row>
    <row r="68" spans="1:18">
      <c r="A68" s="15" t="s">
        <v>410</v>
      </c>
      <c r="B68" s="17" t="n">
        <v>6049</v>
      </c>
      <c r="C68" s="18">
        <f>(5066.0/B68*100)</f>
        <v/>
      </c>
      <c r="D68" s="19" t="n">
        <v>983</v>
      </c>
      <c r="E68" s="18" t="n">
        <v>63.53227658</v>
      </c>
      <c r="F68" s="20" t="n">
        <v>1.37416047</v>
      </c>
      <c r="G68" s="18" t="n">
        <v>31.62897721</v>
      </c>
      <c r="H68" s="20" t="n">
        <v>1.38138509</v>
      </c>
      <c r="I68" s="18" t="s">
        <v>349</v>
      </c>
      <c r="J68" s="20" t="s">
        <v>349</v>
      </c>
      <c r="K68" s="18" t="n">
        <v>1.03977184</v>
      </c>
      <c r="L68" s="20" t="n">
        <v>0.28845515</v>
      </c>
      <c r="M68" s="18" t="n">
        <v>0</v>
      </c>
      <c r="N68" s="20" t="n">
        <v>0</v>
      </c>
      <c r="O68" s="18" t="n">
        <v>0</v>
      </c>
      <c r="P68" s="20" t="n">
        <v>0</v>
      </c>
      <c r="Q68" s="18" t="n">
        <v>3.79897437</v>
      </c>
      <c r="R68" s="20" t="n">
        <v>0.61600891</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(2601.0/B70*100)</f>
        <v/>
      </c>
      <c r="D70" s="19" t="n">
        <v>328</v>
      </c>
      <c r="E70" s="18" t="n">
        <v>57.26580352</v>
      </c>
      <c r="F70" s="20" t="n">
        <v>3.68725549</v>
      </c>
      <c r="G70" s="18" t="n">
        <v>41.02975336</v>
      </c>
      <c r="H70" s="20" t="n">
        <v>3.52487973</v>
      </c>
      <c r="I70" s="18" t="s">
        <v>349</v>
      </c>
      <c r="J70" s="20" t="s">
        <v>349</v>
      </c>
      <c r="K70" s="18" t="n">
        <v>0</v>
      </c>
      <c r="L70" s="20" t="n">
        <v>0</v>
      </c>
      <c r="M70" s="18" t="n">
        <v>0</v>
      </c>
      <c r="N70" s="20" t="n">
        <v>0</v>
      </c>
      <c r="O70" s="18" t="n">
        <v>0</v>
      </c>
      <c r="P70" s="20" t="n">
        <v>0</v>
      </c>
      <c r="Q70" s="18" t="n">
        <v>1.70444312</v>
      </c>
      <c r="R70" s="20" t="n">
        <v>1.48716489</v>
      </c>
    </row>
    <row r="71" spans="1:18">
      <c r="A71" s="15" t="s">
        <v>413</v>
      </c>
      <c r="B71" s="17" t="n">
        <v>3142</v>
      </c>
      <c r="C71" s="18">
        <f>(2748.0/B71*100)</f>
        <v/>
      </c>
      <c r="D71" s="19" t="n">
        <v>394</v>
      </c>
      <c r="E71" s="18" t="n">
        <v>51.26338103</v>
      </c>
      <c r="F71" s="20" t="n">
        <v>2.58671991</v>
      </c>
      <c r="G71" s="18" t="n">
        <v>47.70684225</v>
      </c>
      <c r="H71" s="20" t="n">
        <v>2.61930559</v>
      </c>
      <c r="I71" s="18" t="s">
        <v>349</v>
      </c>
      <c r="J71" s="20" t="s">
        <v>349</v>
      </c>
      <c r="K71" s="18" t="n">
        <v>0</v>
      </c>
      <c r="L71" s="20" t="n">
        <v>0</v>
      </c>
      <c r="M71" s="18" t="n">
        <v>0</v>
      </c>
      <c r="N71" s="20" t="n">
        <v>0</v>
      </c>
      <c r="O71" s="18" t="n">
        <v>0</v>
      </c>
      <c r="P71" s="20" t="n">
        <v>0</v>
      </c>
      <c r="Q71" s="18" t="n">
        <v>1.02977672</v>
      </c>
      <c r="R71" s="20" t="n">
        <v>0.51373366</v>
      </c>
    </row>
    <row r="72" spans="1:18">
      <c r="A72" s="15" t="s">
        <v>414</v>
      </c>
      <c r="B72" s="17" t="n">
        <v>3889</v>
      </c>
      <c r="C72" s="18">
        <f>(3402.0/B72*100)</f>
        <v/>
      </c>
      <c r="D72" s="19" t="n">
        <v>487</v>
      </c>
      <c r="E72" s="18" t="n">
        <v>50.64622268</v>
      </c>
      <c r="F72" s="20" t="n">
        <v>2.65117018</v>
      </c>
      <c r="G72" s="18" t="n">
        <v>48.17054654</v>
      </c>
      <c r="H72" s="20" t="n">
        <v>2.56606826</v>
      </c>
      <c r="I72" s="18" t="s">
        <v>349</v>
      </c>
      <c r="J72" s="20" t="s">
        <v>349</v>
      </c>
      <c r="K72" s="18" t="n">
        <v>0.27703289</v>
      </c>
      <c r="L72" s="20" t="n">
        <v>0.27713718</v>
      </c>
      <c r="M72" s="18" t="n">
        <v>0</v>
      </c>
      <c r="N72" s="20" t="n">
        <v>0</v>
      </c>
      <c r="O72" s="18" t="n">
        <v>0</v>
      </c>
      <c r="P72" s="20" t="n">
        <v>0</v>
      </c>
      <c r="Q72" s="18" t="n">
        <v>0.90619789</v>
      </c>
      <c r="R72" s="20" t="n">
        <v>0.40019924</v>
      </c>
    </row>
    <row r="73" spans="1:18">
      <c r="A73" s="15" t="s">
        <v>415</v>
      </c>
      <c r="B73" s="17" t="n">
        <v>3597</v>
      </c>
      <c r="C73" s="18">
        <f>(3143.0/B73*100)</f>
        <v/>
      </c>
      <c r="D73" s="19" t="n">
        <v>454</v>
      </c>
      <c r="E73" s="18" t="n">
        <v>57.73548716</v>
      </c>
      <c r="F73" s="20" t="n">
        <v>2.59403432</v>
      </c>
      <c r="G73" s="18" t="n">
        <v>41.34776448</v>
      </c>
      <c r="H73" s="20" t="n">
        <v>2.54194192</v>
      </c>
      <c r="I73" s="18" t="s">
        <v>349</v>
      </c>
      <c r="J73" s="20" t="s">
        <v>349</v>
      </c>
      <c r="K73" s="18" t="n">
        <v>0</v>
      </c>
      <c r="L73" s="20" t="n">
        <v>0</v>
      </c>
      <c r="M73" s="18" t="n">
        <v>0</v>
      </c>
      <c r="N73" s="20" t="n">
        <v>0</v>
      </c>
      <c r="O73" s="18" t="n">
        <v>0</v>
      </c>
      <c r="P73" s="20" t="n">
        <v>0</v>
      </c>
      <c r="Q73" s="18" t="n">
        <v>0.91674836</v>
      </c>
      <c r="R73" s="20" t="n">
        <v>0.50597207</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(2125.0/B75*100)</f>
        <v/>
      </c>
      <c r="D75" s="19" t="n">
        <v>281</v>
      </c>
      <c r="E75" s="18" t="n">
        <v>65.97880145000001</v>
      </c>
      <c r="F75" s="20" t="n">
        <v>3.22577931</v>
      </c>
      <c r="G75" s="18" t="n">
        <v>31.61837446</v>
      </c>
      <c r="H75" s="20" t="n">
        <v>3.07330368</v>
      </c>
      <c r="I75" s="18" t="s">
        <v>349</v>
      </c>
      <c r="J75" s="20" t="s">
        <v>349</v>
      </c>
      <c r="K75" s="18" t="n">
        <v>0.31780923</v>
      </c>
      <c r="L75" s="20" t="n">
        <v>0.29205565</v>
      </c>
      <c r="M75" s="18" t="n">
        <v>0</v>
      </c>
      <c r="N75" s="20" t="n">
        <v>0</v>
      </c>
      <c r="O75" s="18" t="n">
        <v>0</v>
      </c>
      <c r="P75" s="20" t="n">
        <v>0</v>
      </c>
      <c r="Q75" s="18" t="n">
        <v>2.08501486</v>
      </c>
      <c r="R75" s="20" t="n">
        <v>0.89189391</v>
      </c>
    </row>
    <row r="76" spans="1:18">
      <c r="A76" s="15" t="s">
        <v>418</v>
      </c>
      <c r="B76" s="17" t="n">
        <v>7052</v>
      </c>
      <c r="C76" s="18">
        <f>(6208.0/B76*100)</f>
        <v/>
      </c>
      <c r="D76" s="19" t="n">
        <v>844</v>
      </c>
      <c r="E76" s="18" t="n">
        <v>33.77942823</v>
      </c>
      <c r="F76" s="20" t="n">
        <v>2.38113714</v>
      </c>
      <c r="G76" s="18" t="n">
        <v>16.47311982</v>
      </c>
      <c r="H76" s="20" t="n">
        <v>1.91318324</v>
      </c>
      <c r="I76" s="18" t="s">
        <v>349</v>
      </c>
      <c r="J76" s="20" t="s">
        <v>349</v>
      </c>
      <c r="K76" s="18" t="n">
        <v>0.83829268</v>
      </c>
      <c r="L76" s="20" t="n">
        <v>0.3530784</v>
      </c>
      <c r="M76" s="18" t="n">
        <v>47.50033781</v>
      </c>
      <c r="N76" s="20" t="n">
        <v>2.62025953</v>
      </c>
      <c r="O76" s="18" t="n">
        <v>0</v>
      </c>
      <c r="P76" s="20" t="n">
        <v>0</v>
      </c>
      <c r="Q76" s="18" t="n">
        <v>1.40882146</v>
      </c>
      <c r="R76" s="20" t="n">
        <v>0.42681743</v>
      </c>
    </row>
    <row r="77" spans="1:18">
      <c r="A77" s="15" t="s">
        <v>419</v>
      </c>
      <c r="B77" s="17" t="n">
        <v>2908</v>
      </c>
      <c r="C77" s="18">
        <f>(2535.0/B77*100)</f>
        <v/>
      </c>
      <c r="D77" s="19" t="n">
        <v>373</v>
      </c>
      <c r="E77" s="18" t="n">
        <v>60.12297756</v>
      </c>
      <c r="F77" s="20" t="n">
        <v>2.51575371</v>
      </c>
      <c r="G77" s="18" t="n">
        <v>38.69477337</v>
      </c>
      <c r="H77" s="20" t="n">
        <v>2.38074172</v>
      </c>
      <c r="I77" s="18" t="s">
        <v>349</v>
      </c>
      <c r="J77" s="20" t="s">
        <v>349</v>
      </c>
      <c r="K77" s="18" t="n">
        <v>0</v>
      </c>
      <c r="L77" s="20" t="n">
        <v>0</v>
      </c>
      <c r="M77" s="18" t="n">
        <v>0</v>
      </c>
      <c r="N77" s="20" t="n">
        <v>0</v>
      </c>
      <c r="O77" s="18" t="n">
        <v>0</v>
      </c>
      <c r="P77" s="20" t="n">
        <v>0</v>
      </c>
      <c r="Q77" s="18" t="n">
        <v>1.18224907</v>
      </c>
      <c r="R77" s="20" t="n">
        <v>0.63231028</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(3647.0/B81*100)</f>
        <v/>
      </c>
      <c r="D81" s="19" t="n">
        <v>516</v>
      </c>
      <c r="E81" s="18" t="n">
        <v>61.69276755</v>
      </c>
      <c r="F81" s="20" t="n">
        <v>3.06876419</v>
      </c>
      <c r="G81" s="18" t="n">
        <v>38.28798658</v>
      </c>
      <c r="H81" s="20" t="n">
        <v>2.9216736</v>
      </c>
      <c r="I81" s="18" t="s">
        <v>349</v>
      </c>
      <c r="J81" s="20" t="s">
        <v>349</v>
      </c>
      <c r="K81" s="18" t="n">
        <v>0.01924586</v>
      </c>
      <c r="L81" s="20" t="n">
        <v>0.65271905</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(6480.0/B7*100)</f>
        <v/>
      </c>
      <c r="D7" s="19" t="n">
        <v>887</v>
      </c>
      <c r="E7" s="18" t="n">
        <v>46.04491043</v>
      </c>
      <c r="F7" s="20" t="n">
        <v>2.03353557</v>
      </c>
      <c r="G7" s="18" t="n">
        <v>53.18773444</v>
      </c>
      <c r="H7" s="20" t="n">
        <v>2.07552579</v>
      </c>
      <c r="I7" s="18" t="s">
        <v>349</v>
      </c>
      <c r="J7" s="20" t="s">
        <v>349</v>
      </c>
      <c r="K7" s="18" t="n">
        <v>0</v>
      </c>
      <c r="L7" s="20" t="n">
        <v>0</v>
      </c>
      <c r="M7" s="18" t="n">
        <v>0</v>
      </c>
      <c r="N7" s="20" t="n">
        <v>0</v>
      </c>
      <c r="O7" s="18" t="n">
        <v>0</v>
      </c>
      <c r="P7" s="20" t="n">
        <v>0</v>
      </c>
      <c r="Q7" s="18" t="n">
        <v>0.76735513</v>
      </c>
      <c r="R7" s="20" t="n">
        <v>0.30915785</v>
      </c>
    </row>
    <row r="8" spans="1:18">
      <c r="A8" s="15" t="s">
        <v>350</v>
      </c>
      <c r="B8" s="17" t="n">
        <v>3564</v>
      </c>
      <c r="C8" s="18">
        <f>(3126.0/B8*100)</f>
        <v/>
      </c>
      <c r="D8" s="19" t="n">
        <v>438</v>
      </c>
      <c r="E8" s="18" t="n">
        <v>49.37016317</v>
      </c>
      <c r="F8" s="20" t="n">
        <v>2.97431596</v>
      </c>
      <c r="G8" s="18" t="n">
        <v>50.43189759</v>
      </c>
      <c r="H8" s="20" t="n">
        <v>2.99970563</v>
      </c>
      <c r="I8" s="18" t="s">
        <v>349</v>
      </c>
      <c r="J8" s="20" t="s">
        <v>349</v>
      </c>
      <c r="K8" s="18" t="n">
        <v>0</v>
      </c>
      <c r="L8" s="20" t="n">
        <v>0</v>
      </c>
      <c r="M8" s="18" t="n">
        <v>0</v>
      </c>
      <c r="N8" s="20" t="n">
        <v>0</v>
      </c>
      <c r="O8" s="18" t="n">
        <v>0</v>
      </c>
      <c r="P8" s="20" t="n">
        <v>0</v>
      </c>
      <c r="Q8" s="18" t="n">
        <v>0.19793924</v>
      </c>
      <c r="R8" s="20" t="n">
        <v>0.14303967</v>
      </c>
    </row>
    <row r="9" spans="1:18">
      <c r="A9" s="15" t="s">
        <v>351</v>
      </c>
      <c r="B9" s="17" t="n">
        <v>4899</v>
      </c>
      <c r="C9" s="18">
        <f>(4299.0/B9*100)</f>
        <v/>
      </c>
      <c r="D9" s="19" t="n">
        <v>600</v>
      </c>
      <c r="E9" s="18" t="n">
        <v>43.00585157</v>
      </c>
      <c r="F9" s="20" t="n">
        <v>2.1163123</v>
      </c>
      <c r="G9" s="18" t="n">
        <v>56.34219985</v>
      </c>
      <c r="H9" s="20" t="n">
        <v>2.1852786</v>
      </c>
      <c r="I9" s="18" t="s">
        <v>349</v>
      </c>
      <c r="J9" s="20" t="s">
        <v>349</v>
      </c>
      <c r="K9" s="18" t="n">
        <v>0</v>
      </c>
      <c r="L9" s="20" t="n">
        <v>0</v>
      </c>
      <c r="M9" s="18" t="n">
        <v>0</v>
      </c>
      <c r="N9" s="20" t="n">
        <v>0</v>
      </c>
      <c r="O9" s="18" t="n">
        <v>0</v>
      </c>
      <c r="P9" s="20" t="n">
        <v>0</v>
      </c>
      <c r="Q9" s="18" t="n">
        <v>0.6519485900000001</v>
      </c>
      <c r="R9" s="20" t="n">
        <v>0.31430648</v>
      </c>
    </row>
    <row r="10" spans="1:18">
      <c r="A10" s="15" t="s">
        <v>352</v>
      </c>
      <c r="B10" s="17" t="n">
        <v>10036</v>
      </c>
      <c r="C10" s="18">
        <f>(8788.0/B10*100)</f>
        <v/>
      </c>
      <c r="D10" s="19" t="n">
        <v>1248</v>
      </c>
      <c r="E10" s="18" t="n">
        <v>42.42538423</v>
      </c>
      <c r="F10" s="20" t="n">
        <v>1.77454638</v>
      </c>
      <c r="G10" s="18" t="n">
        <v>57.13599512</v>
      </c>
      <c r="H10" s="20" t="n">
        <v>1.76495215</v>
      </c>
      <c r="I10" s="18" t="s">
        <v>349</v>
      </c>
      <c r="J10" s="20" t="s">
        <v>349</v>
      </c>
      <c r="K10" s="18" t="n">
        <v>0.25139524</v>
      </c>
      <c r="L10" s="20" t="n">
        <v>0.20455961</v>
      </c>
      <c r="M10" s="18" t="n">
        <v>0</v>
      </c>
      <c r="N10" s="20" t="n">
        <v>0</v>
      </c>
      <c r="O10" s="18" t="n">
        <v>0</v>
      </c>
      <c r="P10" s="20" t="n">
        <v>0</v>
      </c>
      <c r="Q10" s="18" t="n">
        <v>0.18722542</v>
      </c>
      <c r="R10" s="20" t="n">
        <v>0.09681728000000001</v>
      </c>
    </row>
    <row r="11" spans="1:18">
      <c r="A11" s="15" t="s">
        <v>353</v>
      </c>
      <c r="B11" s="17" t="n">
        <v>3553</v>
      </c>
      <c r="C11" s="18">
        <f>(3121.0/B11*100)</f>
        <v/>
      </c>
      <c r="D11" s="19" t="n">
        <v>432</v>
      </c>
      <c r="E11" s="18" t="n">
        <v>55.18961407</v>
      </c>
      <c r="F11" s="20" t="n">
        <v>2.51133133</v>
      </c>
      <c r="G11" s="18" t="n">
        <v>43.87830996</v>
      </c>
      <c r="H11" s="20" t="n">
        <v>2.52223898</v>
      </c>
      <c r="I11" s="18" t="s">
        <v>349</v>
      </c>
      <c r="J11" s="20" t="s">
        <v>349</v>
      </c>
      <c r="K11" s="18" t="n">
        <v>0.27330342</v>
      </c>
      <c r="L11" s="20" t="n">
        <v>0.23711746</v>
      </c>
      <c r="M11" s="18" t="n">
        <v>0</v>
      </c>
      <c r="N11" s="20" t="n">
        <v>0</v>
      </c>
      <c r="O11" s="18" t="n">
        <v>0</v>
      </c>
      <c r="P11" s="20" t="n">
        <v>0</v>
      </c>
      <c r="Q11" s="18" t="n">
        <v>0.65877254</v>
      </c>
      <c r="R11" s="20" t="n">
        <v>0.34896752</v>
      </c>
    </row>
    <row r="12" spans="1:18">
      <c r="A12" s="15" t="s">
        <v>354</v>
      </c>
      <c r="B12" s="17" t="n">
        <v>3472</v>
      </c>
      <c r="C12" s="18">
        <f>(3072.0/B12*100)</f>
        <v/>
      </c>
      <c r="D12" s="19" t="n">
        <v>400</v>
      </c>
      <c r="E12" s="18" t="n">
        <v>42.77241128</v>
      </c>
      <c r="F12" s="20" t="n">
        <v>2.74523545</v>
      </c>
      <c r="G12" s="18" t="n">
        <v>57.22758872</v>
      </c>
      <c r="H12" s="20" t="n">
        <v>2.74523545</v>
      </c>
      <c r="I12" s="18" t="s">
        <v>349</v>
      </c>
      <c r="J12" s="20" t="s">
        <v>349</v>
      </c>
      <c r="K12" s="18" t="n">
        <v>0</v>
      </c>
      <c r="L12" s="20" t="n">
        <v>0</v>
      </c>
      <c r="M12" s="18" t="n">
        <v>0</v>
      </c>
      <c r="N12" s="20" t="n">
        <v>0</v>
      </c>
      <c r="O12" s="18" t="n">
        <v>0</v>
      </c>
      <c r="P12" s="20" t="n">
        <v>0</v>
      </c>
      <c r="Q12" s="18" t="n">
        <v>0</v>
      </c>
      <c r="R12" s="20" t="n">
        <v>0</v>
      </c>
    </row>
    <row r="13" spans="1:18">
      <c r="A13" s="15" t="s">
        <v>355</v>
      </c>
      <c r="B13" s="17" t="n">
        <v>3559</v>
      </c>
      <c r="C13" s="18">
        <f>(3158.0/B13*100)</f>
        <v/>
      </c>
      <c r="D13" s="19" t="n">
        <v>401</v>
      </c>
      <c r="E13" s="18" t="n">
        <v>43.69709496</v>
      </c>
      <c r="F13" s="20" t="n">
        <v>2.83299947</v>
      </c>
      <c r="G13" s="18" t="n">
        <v>55.76806126</v>
      </c>
      <c r="H13" s="20" t="n">
        <v>2.7911101</v>
      </c>
      <c r="I13" s="18" t="s">
        <v>349</v>
      </c>
      <c r="J13" s="20" t="s">
        <v>349</v>
      </c>
      <c r="K13" s="18" t="n">
        <v>0.53484378</v>
      </c>
      <c r="L13" s="20" t="n">
        <v>0.37463942</v>
      </c>
      <c r="M13" s="18" t="n">
        <v>0</v>
      </c>
      <c r="N13" s="20" t="n">
        <v>0</v>
      </c>
      <c r="O13" s="18" t="n">
        <v>0</v>
      </c>
      <c r="P13" s="20" t="n">
        <v>0</v>
      </c>
      <c r="Q13" s="18" t="n">
        <v>0</v>
      </c>
      <c r="R13" s="20" t="n">
        <v>0</v>
      </c>
    </row>
    <row r="14" spans="1:18">
      <c r="A14" s="15" t="s">
        <v>356</v>
      </c>
      <c r="B14" s="17" t="n">
        <v>2799</v>
      </c>
      <c r="C14" s="18">
        <f>(2453.0/B14*100)</f>
        <v/>
      </c>
      <c r="D14" s="19" t="n">
        <v>346</v>
      </c>
      <c r="E14" s="18" t="n">
        <v>39.06470165</v>
      </c>
      <c r="F14" s="20" t="n">
        <v>2.85565081</v>
      </c>
      <c r="G14" s="18" t="n">
        <v>60.7036021</v>
      </c>
      <c r="H14" s="20" t="n">
        <v>2.82649788</v>
      </c>
      <c r="I14" s="18" t="s">
        <v>349</v>
      </c>
      <c r="J14" s="20" t="s">
        <v>349</v>
      </c>
      <c r="K14" s="18" t="n">
        <v>0.23169625</v>
      </c>
      <c r="L14" s="20" t="n">
        <v>0.23243413</v>
      </c>
      <c r="M14" s="18" t="n">
        <v>0</v>
      </c>
      <c r="N14" s="20" t="n">
        <v>0</v>
      </c>
      <c r="O14" s="18" t="n">
        <v>0</v>
      </c>
      <c r="P14" s="20" t="n">
        <v>0</v>
      </c>
      <c r="Q14" s="18" t="n">
        <v>0</v>
      </c>
      <c r="R14" s="20" t="n">
        <v>0</v>
      </c>
    </row>
    <row r="15" spans="1:18">
      <c r="A15" s="15" t="s">
        <v>357</v>
      </c>
      <c r="B15" s="17" t="n">
        <v>3019</v>
      </c>
      <c r="C15" s="18">
        <f>(2644.0/B15*100)</f>
        <v/>
      </c>
      <c r="D15" s="19" t="n">
        <v>375</v>
      </c>
      <c r="E15" s="18" t="n">
        <v>48.88457606</v>
      </c>
      <c r="F15" s="20" t="n">
        <v>2.70992532</v>
      </c>
      <c r="G15" s="18" t="n">
        <v>51.11542394</v>
      </c>
      <c r="H15" s="20" t="n">
        <v>2.70992532</v>
      </c>
      <c r="I15" s="18" t="s">
        <v>349</v>
      </c>
      <c r="J15" s="20" t="s">
        <v>349</v>
      </c>
      <c r="K15" s="18" t="n">
        <v>0</v>
      </c>
      <c r="L15" s="20" t="n">
        <v>0</v>
      </c>
      <c r="M15" s="18" t="n">
        <v>0</v>
      </c>
      <c r="N15" s="20" t="n">
        <v>0</v>
      </c>
      <c r="O15" s="18" t="n">
        <v>0</v>
      </c>
      <c r="P15" s="20" t="n">
        <v>0</v>
      </c>
      <c r="Q15" s="18" t="n">
        <v>0</v>
      </c>
      <c r="R15" s="20" t="n">
        <v>0</v>
      </c>
    </row>
    <row r="16" spans="1:18">
      <c r="A16" s="15" t="s">
        <v>358</v>
      </c>
      <c r="B16" s="17" t="n">
        <v>2997</v>
      </c>
      <c r="C16" s="18">
        <f>(2619.0/B16*100)</f>
        <v/>
      </c>
      <c r="D16" s="19" t="n">
        <v>378</v>
      </c>
      <c r="E16" s="18" t="n">
        <v>51.2524962</v>
      </c>
      <c r="F16" s="20" t="n">
        <v>2.56417489</v>
      </c>
      <c r="G16" s="18" t="n">
        <v>47.35885864</v>
      </c>
      <c r="H16" s="20" t="n">
        <v>2.54092599</v>
      </c>
      <c r="I16" s="18" t="s">
        <v>349</v>
      </c>
      <c r="J16" s="20" t="s">
        <v>349</v>
      </c>
      <c r="K16" s="18" t="n">
        <v>0.26523683</v>
      </c>
      <c r="L16" s="20" t="n">
        <v>0.2169782</v>
      </c>
      <c r="M16" s="18" t="n">
        <v>0</v>
      </c>
      <c r="N16" s="20" t="n">
        <v>0</v>
      </c>
      <c r="O16" s="18" t="n">
        <v>0</v>
      </c>
      <c r="P16" s="20" t="n">
        <v>0</v>
      </c>
      <c r="Q16" s="18" t="n">
        <v>1.12340833</v>
      </c>
      <c r="R16" s="20" t="n">
        <v>0.55848821</v>
      </c>
    </row>
    <row r="17" spans="1:18">
      <c r="A17" s="15" t="s">
        <v>359</v>
      </c>
      <c r="B17" s="17" t="n">
        <v>3307</v>
      </c>
      <c r="C17" s="18">
        <f>(2916.0/B17*100)</f>
        <v/>
      </c>
      <c r="D17" s="19" t="n">
        <v>391</v>
      </c>
      <c r="E17" s="18" t="n">
        <v>40.83046594</v>
      </c>
      <c r="F17" s="20" t="n">
        <v>2.41078257</v>
      </c>
      <c r="G17" s="18" t="n">
        <v>58.39132427</v>
      </c>
      <c r="H17" s="20" t="n">
        <v>2.42031247</v>
      </c>
      <c r="I17" s="18" t="s">
        <v>349</v>
      </c>
      <c r="J17" s="20" t="s">
        <v>349</v>
      </c>
      <c r="K17" s="18" t="n">
        <v>0</v>
      </c>
      <c r="L17" s="20" t="n">
        <v>0</v>
      </c>
      <c r="M17" s="18" t="n">
        <v>0</v>
      </c>
      <c r="N17" s="20" t="n">
        <v>0</v>
      </c>
      <c r="O17" s="18" t="n">
        <v>0</v>
      </c>
      <c r="P17" s="20" t="n">
        <v>0</v>
      </c>
      <c r="Q17" s="18" t="n">
        <v>0.77820979</v>
      </c>
      <c r="R17" s="20" t="n">
        <v>0.42916927</v>
      </c>
    </row>
    <row r="18" spans="1:18">
      <c r="A18" s="15" t="s">
        <v>360</v>
      </c>
      <c r="B18" s="17" t="n">
        <v>2826</v>
      </c>
      <c r="C18" s="18">
        <f>(2498.0/B18*100)</f>
        <v/>
      </c>
      <c r="D18" s="19" t="n">
        <v>328</v>
      </c>
      <c r="E18" s="18" t="n">
        <v>59.2293077</v>
      </c>
      <c r="F18" s="20" t="n">
        <v>3.27097917</v>
      </c>
      <c r="G18" s="18" t="n">
        <v>40.7706923</v>
      </c>
      <c r="H18" s="20" t="n">
        <v>3.27097917</v>
      </c>
      <c r="I18" s="18" t="s">
        <v>349</v>
      </c>
      <c r="J18" s="20" t="s">
        <v>349</v>
      </c>
      <c r="K18" s="18" t="n">
        <v>0</v>
      </c>
      <c r="L18" s="20" t="n">
        <v>0</v>
      </c>
      <c r="M18" s="18" t="n">
        <v>0</v>
      </c>
      <c r="N18" s="20" t="n">
        <v>0</v>
      </c>
      <c r="O18" s="18" t="n">
        <v>0</v>
      </c>
      <c r="P18" s="20" t="n">
        <v>0</v>
      </c>
      <c r="Q18" s="18" t="n">
        <v>0</v>
      </c>
      <c r="R18" s="20" t="n">
        <v>0</v>
      </c>
    </row>
    <row r="19" spans="1:18">
      <c r="A19" s="15" t="s">
        <v>361</v>
      </c>
      <c r="B19" s="17" t="n">
        <v>2808</v>
      </c>
      <c r="C19" s="18">
        <f>(2465.0/B19*100)</f>
        <v/>
      </c>
      <c r="D19" s="19" t="n">
        <v>343</v>
      </c>
      <c r="E19" s="18" t="n">
        <v>54.8162828</v>
      </c>
      <c r="F19" s="20" t="n">
        <v>3.14267491</v>
      </c>
      <c r="G19" s="18" t="n">
        <v>45.1837172</v>
      </c>
      <c r="H19" s="20" t="n">
        <v>3.14267491</v>
      </c>
      <c r="I19" s="18" t="s">
        <v>349</v>
      </c>
      <c r="J19" s="20" t="s">
        <v>349</v>
      </c>
      <c r="K19" s="18" t="n">
        <v>0</v>
      </c>
      <c r="L19" s="20" t="n">
        <v>0</v>
      </c>
      <c r="M19" s="18" t="n">
        <v>0</v>
      </c>
      <c r="N19" s="20" t="n">
        <v>0</v>
      </c>
      <c r="O19" s="18" t="n">
        <v>0</v>
      </c>
      <c r="P19" s="20" t="n">
        <v>0</v>
      </c>
      <c r="Q19" s="18" t="n">
        <v>0</v>
      </c>
      <c r="R19" s="20" t="n">
        <v>0</v>
      </c>
    </row>
    <row r="20" spans="1:18">
      <c r="A20" s="15" t="s">
        <v>362</v>
      </c>
      <c r="B20" s="17" t="n">
        <v>1630</v>
      </c>
      <c r="C20" s="18">
        <f>(1425.0/B20*100)</f>
        <v/>
      </c>
      <c r="D20" s="19" t="n">
        <v>205</v>
      </c>
      <c r="E20" s="18" t="n">
        <v>46.5883552</v>
      </c>
      <c r="F20" s="20" t="n">
        <v>3.73390951</v>
      </c>
      <c r="G20" s="18" t="n">
        <v>52.95284795</v>
      </c>
      <c r="H20" s="20" t="n">
        <v>3.743848</v>
      </c>
      <c r="I20" s="18" t="s">
        <v>349</v>
      </c>
      <c r="J20" s="20" t="s">
        <v>349</v>
      </c>
      <c r="K20" s="18" t="n">
        <v>0.45879685</v>
      </c>
      <c r="L20" s="20" t="n">
        <v>0.45946854</v>
      </c>
      <c r="M20" s="18" t="n">
        <v>0</v>
      </c>
      <c r="N20" s="20" t="n">
        <v>0</v>
      </c>
      <c r="O20" s="18" t="n">
        <v>0</v>
      </c>
      <c r="P20" s="20" t="n">
        <v>0</v>
      </c>
      <c r="Q20" s="18" t="n">
        <v>0</v>
      </c>
      <c r="R20" s="20" t="n">
        <v>0</v>
      </c>
    </row>
    <row r="21" spans="1:18">
      <c r="A21" s="15" t="s">
        <v>363</v>
      </c>
      <c r="B21" s="17" t="n">
        <v>2908</v>
      </c>
      <c r="C21" s="18">
        <f>(2436.0/B21*100)</f>
        <v/>
      </c>
      <c r="D21" s="19" t="n">
        <v>472</v>
      </c>
      <c r="E21" s="18" t="n">
        <v>39.57423017</v>
      </c>
      <c r="F21" s="20" t="n">
        <v>2.35310951</v>
      </c>
      <c r="G21" s="18" t="n">
        <v>60.19977054</v>
      </c>
      <c r="H21" s="20" t="n">
        <v>2.44961781</v>
      </c>
      <c r="I21" s="18" t="s">
        <v>349</v>
      </c>
      <c r="J21" s="20" t="s">
        <v>349</v>
      </c>
      <c r="K21" s="18" t="n">
        <v>0</v>
      </c>
      <c r="L21" s="20" t="n">
        <v>0</v>
      </c>
      <c r="M21" s="18" t="n">
        <v>0</v>
      </c>
      <c r="N21" s="20" t="n">
        <v>0</v>
      </c>
      <c r="O21" s="18" t="n">
        <v>0</v>
      </c>
      <c r="P21" s="20" t="n">
        <v>0</v>
      </c>
      <c r="Q21" s="18" t="n">
        <v>0.22599929</v>
      </c>
      <c r="R21" s="20" t="n">
        <v>0.28238739</v>
      </c>
    </row>
    <row r="22" spans="1:18">
      <c r="A22" s="15" t="s">
        <v>364</v>
      </c>
      <c r="B22" s="17" t="n">
        <v>2931</v>
      </c>
      <c r="C22" s="18">
        <f>(2552.0/B22*100)</f>
        <v/>
      </c>
      <c r="D22" s="19" t="n">
        <v>379</v>
      </c>
      <c r="E22" s="18" t="n">
        <v>49.47599257</v>
      </c>
      <c r="F22" s="20" t="n">
        <v>3.57532012</v>
      </c>
      <c r="G22" s="18" t="n">
        <v>49.43835337</v>
      </c>
      <c r="H22" s="20" t="n">
        <v>3.68845033</v>
      </c>
      <c r="I22" s="18" t="s">
        <v>349</v>
      </c>
      <c r="J22" s="20" t="s">
        <v>349</v>
      </c>
      <c r="K22" s="18" t="n">
        <v>0.21362447</v>
      </c>
      <c r="L22" s="20" t="n">
        <v>0.21388762</v>
      </c>
      <c r="M22" s="18" t="n">
        <v>0</v>
      </c>
      <c r="N22" s="20" t="n">
        <v>0</v>
      </c>
      <c r="O22" s="18" t="n">
        <v>0</v>
      </c>
      <c r="P22" s="20" t="n">
        <v>0</v>
      </c>
      <c r="Q22" s="18" t="n">
        <v>0.87202959</v>
      </c>
      <c r="R22" s="20" t="n">
        <v>0.56999838</v>
      </c>
    </row>
    <row r="23" spans="1:18">
      <c r="A23" s="15" t="s">
        <v>365</v>
      </c>
      <c r="B23" s="17" t="n">
        <v>5791</v>
      </c>
      <c r="C23" s="18">
        <f>(5089.0/B23*100)</f>
        <v/>
      </c>
      <c r="D23" s="19" t="n">
        <v>702</v>
      </c>
      <c r="E23" s="18" t="n">
        <v>52.34864367</v>
      </c>
      <c r="F23" s="20" t="n">
        <v>2.64903891</v>
      </c>
      <c r="G23" s="18" t="n">
        <v>47.63939701</v>
      </c>
      <c r="H23" s="20" t="n">
        <v>2.64715882</v>
      </c>
      <c r="I23" s="18" t="s">
        <v>349</v>
      </c>
      <c r="J23" s="20" t="s">
        <v>349</v>
      </c>
      <c r="K23" s="18" t="n">
        <v>0.01195932</v>
      </c>
      <c r="L23" s="20" t="n">
        <v>0.01202932</v>
      </c>
      <c r="M23" s="18" t="n">
        <v>0</v>
      </c>
      <c r="N23" s="20" t="n">
        <v>0</v>
      </c>
      <c r="O23" s="18" t="n">
        <v>0</v>
      </c>
      <c r="P23" s="20" t="n">
        <v>0</v>
      </c>
      <c r="Q23" s="18" t="n">
        <v>0</v>
      </c>
      <c r="R23" s="20" t="n">
        <v>0</v>
      </c>
    </row>
    <row r="24" spans="1:18">
      <c r="A24" s="15" t="s">
        <v>366</v>
      </c>
      <c r="B24" s="17" t="n">
        <v>3338</v>
      </c>
      <c r="C24" s="18">
        <f>(2906.0/B24*100)</f>
        <v/>
      </c>
      <c r="D24" s="19" t="n">
        <v>432</v>
      </c>
      <c r="E24" s="18" t="n">
        <v>38.29134638</v>
      </c>
      <c r="F24" s="20" t="n">
        <v>2.2389621</v>
      </c>
      <c r="G24" s="18" t="n">
        <v>61.0640381</v>
      </c>
      <c r="H24" s="20" t="n">
        <v>2.30743578</v>
      </c>
      <c r="I24" s="18" t="s">
        <v>349</v>
      </c>
      <c r="J24" s="20" t="s">
        <v>349</v>
      </c>
      <c r="K24" s="18" t="n">
        <v>0.21325427</v>
      </c>
      <c r="L24" s="20" t="n">
        <v>0.21504955</v>
      </c>
      <c r="M24" s="18" t="n">
        <v>0</v>
      </c>
      <c r="N24" s="20" t="n">
        <v>0</v>
      </c>
      <c r="O24" s="18" t="n">
        <v>0</v>
      </c>
      <c r="P24" s="20" t="n">
        <v>0</v>
      </c>
      <c r="Q24" s="18" t="n">
        <v>0.43136126</v>
      </c>
      <c r="R24" s="20" t="n">
        <v>0.30628192</v>
      </c>
    </row>
    <row r="25" spans="1:18">
      <c r="A25" s="15" t="s">
        <v>367</v>
      </c>
      <c r="B25" s="17" t="n">
        <v>2912</v>
      </c>
      <c r="C25" s="18">
        <f>(2563.0/B25*100)</f>
        <v/>
      </c>
      <c r="D25" s="19" t="n">
        <v>349</v>
      </c>
      <c r="E25" s="18" t="n">
        <v>43.41875256</v>
      </c>
      <c r="F25" s="20" t="n">
        <v>2.89497549</v>
      </c>
      <c r="G25" s="18" t="n">
        <v>56.30997237</v>
      </c>
      <c r="H25" s="20" t="n">
        <v>2.88064389</v>
      </c>
      <c r="I25" s="18" t="s">
        <v>349</v>
      </c>
      <c r="J25" s="20" t="s">
        <v>349</v>
      </c>
      <c r="K25" s="18" t="n">
        <v>0</v>
      </c>
      <c r="L25" s="20" t="n">
        <v>0</v>
      </c>
      <c r="M25" s="18" t="n">
        <v>0</v>
      </c>
      <c r="N25" s="20" t="n">
        <v>0</v>
      </c>
      <c r="O25" s="18" t="n">
        <v>0</v>
      </c>
      <c r="P25" s="20" t="n">
        <v>0</v>
      </c>
      <c r="Q25" s="18" t="n">
        <v>0.27127508</v>
      </c>
      <c r="R25" s="20" t="n">
        <v>0.27162876</v>
      </c>
    </row>
    <row r="26" spans="1:18">
      <c r="A26" s="15" t="s">
        <v>368</v>
      </c>
      <c r="B26" s="17" t="n">
        <v>2450</v>
      </c>
      <c r="C26" s="18">
        <f>(2161.0/B26*100)</f>
        <v/>
      </c>
      <c r="D26" s="19" t="n">
        <v>289</v>
      </c>
      <c r="E26" s="18" t="n">
        <v>50.93453798</v>
      </c>
      <c r="F26" s="20" t="n">
        <v>2.95848947</v>
      </c>
      <c r="G26" s="18" t="n">
        <v>48.83288152</v>
      </c>
      <c r="H26" s="20" t="n">
        <v>2.95883479</v>
      </c>
      <c r="I26" s="18" t="s">
        <v>349</v>
      </c>
      <c r="J26" s="20" t="s">
        <v>349</v>
      </c>
      <c r="K26" s="18" t="n">
        <v>0</v>
      </c>
      <c r="L26" s="20" t="n">
        <v>0</v>
      </c>
      <c r="M26" s="18" t="n">
        <v>0</v>
      </c>
      <c r="N26" s="20" t="n">
        <v>0</v>
      </c>
      <c r="O26" s="18" t="n">
        <v>0</v>
      </c>
      <c r="P26" s="20" t="n">
        <v>0</v>
      </c>
      <c r="Q26" s="18" t="n">
        <v>0.2325805</v>
      </c>
      <c r="R26" s="20" t="n">
        <v>0.23250927</v>
      </c>
    </row>
    <row r="27" spans="1:18">
      <c r="A27" s="15" t="s">
        <v>369</v>
      </c>
      <c r="B27" s="17" t="n">
        <v>2616</v>
      </c>
      <c r="C27" s="18">
        <f>(2288.0/B27*100)</f>
        <v/>
      </c>
      <c r="D27" s="19" t="n">
        <v>328</v>
      </c>
      <c r="E27" s="18" t="n">
        <v>44.6976207</v>
      </c>
      <c r="F27" s="20" t="n">
        <v>2.82713289</v>
      </c>
      <c r="G27" s="18" t="n">
        <v>54.69762593</v>
      </c>
      <c r="H27" s="20" t="n">
        <v>2.80332181</v>
      </c>
      <c r="I27" s="18" t="s">
        <v>349</v>
      </c>
      <c r="J27" s="20" t="s">
        <v>349</v>
      </c>
      <c r="K27" s="18" t="n">
        <v>0.30342202</v>
      </c>
      <c r="L27" s="20" t="n">
        <v>0.3042617</v>
      </c>
      <c r="M27" s="18" t="n">
        <v>0</v>
      </c>
      <c r="N27" s="20" t="n">
        <v>0</v>
      </c>
      <c r="O27" s="18" t="n">
        <v>0</v>
      </c>
      <c r="P27" s="20" t="n">
        <v>0</v>
      </c>
      <c r="Q27" s="18" t="n">
        <v>0.30133134</v>
      </c>
      <c r="R27" s="20" t="n">
        <v>0.29872426</v>
      </c>
    </row>
    <row r="28" spans="1:18">
      <c r="A28" s="15" t="s">
        <v>370</v>
      </c>
      <c r="B28" s="17" t="n">
        <v>3765</v>
      </c>
      <c r="C28" s="18">
        <f>(3343.0/B28*100)</f>
        <v/>
      </c>
      <c r="D28" s="19" t="n">
        <v>422</v>
      </c>
      <c r="E28" s="18" t="n">
        <v>64.98396978</v>
      </c>
      <c r="F28" s="20" t="n">
        <v>2.66111698</v>
      </c>
      <c r="G28" s="18" t="n">
        <v>34.28389573</v>
      </c>
      <c r="H28" s="20" t="n">
        <v>2.72113514</v>
      </c>
      <c r="I28" s="18" t="s">
        <v>349</v>
      </c>
      <c r="J28" s="20" t="s">
        <v>349</v>
      </c>
      <c r="K28" s="18" t="n">
        <v>0.73213449</v>
      </c>
      <c r="L28" s="20" t="n">
        <v>0.53785835</v>
      </c>
      <c r="M28" s="18" t="n">
        <v>0</v>
      </c>
      <c r="N28" s="20" t="n">
        <v>0</v>
      </c>
      <c r="O28" s="18" t="n">
        <v>0</v>
      </c>
      <c r="P28" s="20" t="n">
        <v>0</v>
      </c>
      <c r="Q28" s="18" t="n">
        <v>0</v>
      </c>
      <c r="R28" s="20" t="n">
        <v>0</v>
      </c>
    </row>
    <row r="29" spans="1:18">
      <c r="A29" s="15" t="s">
        <v>371</v>
      </c>
      <c r="B29" s="17" t="n">
        <v>2685</v>
      </c>
      <c r="C29" s="18">
        <f>(2388.0/B29*100)</f>
        <v/>
      </c>
      <c r="D29" s="19" t="n">
        <v>297</v>
      </c>
      <c r="E29" s="18" t="n">
        <v>50.57112733</v>
      </c>
      <c r="F29" s="20" t="n">
        <v>2.86814412</v>
      </c>
      <c r="G29" s="18" t="n">
        <v>49.08445686</v>
      </c>
      <c r="H29" s="20" t="n">
        <v>2.89823427</v>
      </c>
      <c r="I29" s="18" t="s">
        <v>349</v>
      </c>
      <c r="J29" s="20" t="s">
        <v>349</v>
      </c>
      <c r="K29" s="18" t="n">
        <v>0.34441581</v>
      </c>
      <c r="L29" s="20" t="n">
        <v>0.34410205</v>
      </c>
      <c r="M29" s="18" t="n">
        <v>0</v>
      </c>
      <c r="N29" s="20" t="n">
        <v>0</v>
      </c>
      <c r="O29" s="18" t="n">
        <v>0</v>
      </c>
      <c r="P29" s="20" t="n">
        <v>0</v>
      </c>
      <c r="Q29" s="18" t="n">
        <v>0</v>
      </c>
      <c r="R29" s="20" t="n">
        <v>0</v>
      </c>
    </row>
    <row r="30" spans="1:18">
      <c r="A30" s="15" t="s">
        <v>372</v>
      </c>
      <c r="B30" s="17" t="n">
        <v>2263</v>
      </c>
      <c r="C30" s="18">
        <f>(1979.0/B30*100)</f>
        <v/>
      </c>
      <c r="D30" s="19" t="n">
        <v>284</v>
      </c>
      <c r="E30" s="18" t="n">
        <v>42.0258869</v>
      </c>
      <c r="F30" s="20" t="n">
        <v>2.97983438</v>
      </c>
      <c r="G30" s="18" t="n">
        <v>57.61898275</v>
      </c>
      <c r="H30" s="20" t="n">
        <v>2.97944495</v>
      </c>
      <c r="I30" s="18" t="s">
        <v>349</v>
      </c>
      <c r="J30" s="20" t="s">
        <v>349</v>
      </c>
      <c r="K30" s="18" t="n">
        <v>0</v>
      </c>
      <c r="L30" s="20" t="n">
        <v>0</v>
      </c>
      <c r="M30" s="18" t="n">
        <v>0</v>
      </c>
      <c r="N30" s="20" t="n">
        <v>0</v>
      </c>
      <c r="O30" s="18" t="n">
        <v>0</v>
      </c>
      <c r="P30" s="20" t="n">
        <v>0</v>
      </c>
      <c r="Q30" s="18" t="n">
        <v>0.35513036</v>
      </c>
      <c r="R30" s="20" t="n">
        <v>0.34621324</v>
      </c>
    </row>
    <row r="31" spans="1:18">
      <c r="A31" s="15" t="s">
        <v>373</v>
      </c>
      <c r="B31" s="17" t="n">
        <v>2750</v>
      </c>
      <c r="C31" s="18">
        <f>(2410.0/B31*100)</f>
        <v/>
      </c>
      <c r="D31" s="19" t="n">
        <v>340</v>
      </c>
      <c r="E31" s="18" t="n">
        <v>50.07258598</v>
      </c>
      <c r="F31" s="20" t="n">
        <v>2.85909033</v>
      </c>
      <c r="G31" s="18" t="n">
        <v>49.36611077</v>
      </c>
      <c r="H31" s="20" t="n">
        <v>2.87899298</v>
      </c>
      <c r="I31" s="18" t="s">
        <v>349</v>
      </c>
      <c r="J31" s="20" t="s">
        <v>349</v>
      </c>
      <c r="K31" s="18" t="n">
        <v>0.28105984</v>
      </c>
      <c r="L31" s="20" t="n">
        <v>0.27002835</v>
      </c>
      <c r="M31" s="18" t="n">
        <v>0</v>
      </c>
      <c r="N31" s="20" t="n">
        <v>0</v>
      </c>
      <c r="O31" s="18" t="n">
        <v>0</v>
      </c>
      <c r="P31" s="20" t="n">
        <v>0</v>
      </c>
      <c r="Q31" s="18" t="n">
        <v>0.28024341</v>
      </c>
      <c r="R31" s="20" t="n">
        <v>0.26370244</v>
      </c>
    </row>
    <row r="32" spans="1:18">
      <c r="A32" s="15" t="s">
        <v>374</v>
      </c>
      <c r="B32" s="17" t="n">
        <v>2269</v>
      </c>
      <c r="C32" s="18">
        <f>(1871.0/B32*100)</f>
        <v/>
      </c>
      <c r="D32" s="19" t="n">
        <v>398</v>
      </c>
      <c r="E32" s="18" t="n">
        <v>52.0480735</v>
      </c>
      <c r="F32" s="20" t="n">
        <v>2.7983986</v>
      </c>
      <c r="G32" s="18" t="n">
        <v>47.7340211</v>
      </c>
      <c r="H32" s="20" t="n">
        <v>2.81510837</v>
      </c>
      <c r="I32" s="18" t="s">
        <v>349</v>
      </c>
      <c r="J32" s="20" t="s">
        <v>349</v>
      </c>
      <c r="K32" s="18" t="n">
        <v>0</v>
      </c>
      <c r="L32" s="20" t="n">
        <v>0</v>
      </c>
      <c r="M32" s="18" t="n">
        <v>0</v>
      </c>
      <c r="N32" s="20" t="n">
        <v>0</v>
      </c>
      <c r="O32" s="18" t="n">
        <v>0</v>
      </c>
      <c r="P32" s="20" t="n">
        <v>0</v>
      </c>
      <c r="Q32" s="18" t="n">
        <v>0.2179054</v>
      </c>
      <c r="R32" s="20" t="n">
        <v>0.21865786</v>
      </c>
    </row>
    <row r="33" spans="1:18">
      <c r="A33" s="15" t="s">
        <v>375</v>
      </c>
      <c r="B33" s="17" t="n">
        <v>3674</v>
      </c>
      <c r="C33" s="18">
        <f>(3234.0/B33*100)</f>
        <v/>
      </c>
      <c r="D33" s="19" t="n">
        <v>440</v>
      </c>
      <c r="E33" s="18" t="n">
        <v>52.92235598</v>
      </c>
      <c r="F33" s="20" t="n">
        <v>2.80855904</v>
      </c>
      <c r="G33" s="18" t="n">
        <v>46.5696817</v>
      </c>
      <c r="H33" s="20" t="n">
        <v>2.84494108</v>
      </c>
      <c r="I33" s="18" t="s">
        <v>349</v>
      </c>
      <c r="J33" s="20" t="s">
        <v>349</v>
      </c>
      <c r="K33" s="18" t="n">
        <v>0.4239366</v>
      </c>
      <c r="L33" s="20" t="n">
        <v>0.43359324</v>
      </c>
      <c r="M33" s="18" t="n">
        <v>0</v>
      </c>
      <c r="N33" s="20" t="n">
        <v>0</v>
      </c>
      <c r="O33" s="18" t="n">
        <v>0</v>
      </c>
      <c r="P33" s="20" t="n">
        <v>0</v>
      </c>
      <c r="Q33" s="18" t="n">
        <v>0.08402573000000001</v>
      </c>
      <c r="R33" s="20" t="n">
        <v>0.10361397</v>
      </c>
    </row>
    <row r="34" spans="1:18">
      <c r="A34" s="15" t="s">
        <v>376</v>
      </c>
      <c r="B34" s="17" t="n">
        <v>3315</v>
      </c>
      <c r="C34" s="18">
        <f>(2901.0/B34*100)</f>
        <v/>
      </c>
      <c r="D34" s="19" t="n">
        <v>414</v>
      </c>
      <c r="E34" s="18" t="n">
        <v>52.84448247</v>
      </c>
      <c r="F34" s="20" t="n">
        <v>2.47225132</v>
      </c>
      <c r="G34" s="18" t="n">
        <v>46.97001366</v>
      </c>
      <c r="H34" s="20" t="n">
        <v>2.47388685</v>
      </c>
      <c r="I34" s="18" t="s">
        <v>349</v>
      </c>
      <c r="J34" s="20" t="s">
        <v>349</v>
      </c>
      <c r="K34" s="18" t="n">
        <v>0</v>
      </c>
      <c r="L34" s="20" t="n">
        <v>0</v>
      </c>
      <c r="M34" s="18" t="n">
        <v>0</v>
      </c>
      <c r="N34" s="20" t="n">
        <v>0</v>
      </c>
      <c r="O34" s="18" t="n">
        <v>0</v>
      </c>
      <c r="P34" s="20" t="n">
        <v>0</v>
      </c>
      <c r="Q34" s="18" t="n">
        <v>0.18550386</v>
      </c>
      <c r="R34" s="20" t="n">
        <v>0.17713081</v>
      </c>
    </row>
    <row r="35" spans="1:18">
      <c r="A35" s="15" t="s">
        <v>377</v>
      </c>
      <c r="B35" s="17" t="n">
        <v>3505</v>
      </c>
      <c r="C35" s="18">
        <f>(3061.0/B35*100)</f>
        <v/>
      </c>
      <c r="D35" s="19" t="n">
        <v>444</v>
      </c>
      <c r="E35" s="18" t="n">
        <v>46.12579433</v>
      </c>
      <c r="F35" s="20" t="n">
        <v>2.89649618</v>
      </c>
      <c r="G35" s="18" t="n">
        <v>53.65430903</v>
      </c>
      <c r="H35" s="20" t="n">
        <v>2.91432612</v>
      </c>
      <c r="I35" s="18" t="s">
        <v>349</v>
      </c>
      <c r="J35" s="20" t="s">
        <v>349</v>
      </c>
      <c r="K35" s="18" t="n">
        <v>0.21989663</v>
      </c>
      <c r="L35" s="20" t="n">
        <v>0.15842578</v>
      </c>
      <c r="M35" s="18" t="n">
        <v>0</v>
      </c>
      <c r="N35" s="20" t="n">
        <v>0</v>
      </c>
      <c r="O35" s="18" t="n">
        <v>0</v>
      </c>
      <c r="P35" s="20" t="n">
        <v>0</v>
      </c>
      <c r="Q35" s="18" t="n">
        <v>0</v>
      </c>
      <c r="R35" s="20" t="n">
        <v>0</v>
      </c>
    </row>
    <row r="36" spans="1:18">
      <c r="A36" s="15" t="s">
        <v>378</v>
      </c>
      <c r="B36" s="17" t="n">
        <v>3332</v>
      </c>
      <c r="C36" s="18">
        <f>(2919.0/B36*100)</f>
        <v/>
      </c>
      <c r="D36" s="19" t="n">
        <v>413</v>
      </c>
      <c r="E36" s="18" t="n">
        <v>51.14510807</v>
      </c>
      <c r="F36" s="20" t="n">
        <v>2.29333974</v>
      </c>
      <c r="G36" s="18" t="n">
        <v>48.09908743</v>
      </c>
      <c r="H36" s="20" t="n">
        <v>2.20664421</v>
      </c>
      <c r="I36" s="18" t="s">
        <v>349</v>
      </c>
      <c r="J36" s="20" t="s">
        <v>349</v>
      </c>
      <c r="K36" s="18" t="n">
        <v>0</v>
      </c>
      <c r="L36" s="20" t="n">
        <v>0</v>
      </c>
      <c r="M36" s="18" t="n">
        <v>0</v>
      </c>
      <c r="N36" s="20" t="n">
        <v>0</v>
      </c>
      <c r="O36" s="18" t="n">
        <v>0</v>
      </c>
      <c r="P36" s="20" t="n">
        <v>0</v>
      </c>
      <c r="Q36" s="18" t="n">
        <v>0.7558045</v>
      </c>
      <c r="R36" s="20" t="n">
        <v>0.52312824</v>
      </c>
    </row>
    <row r="37" spans="1:18">
      <c r="A37" s="15" t="s">
        <v>379</v>
      </c>
      <c r="B37" s="17" t="n">
        <v>2727</v>
      </c>
      <c r="C37" s="18">
        <f>(2400.0/B37*100)</f>
        <v/>
      </c>
      <c r="D37" s="19" t="n">
        <v>327</v>
      </c>
      <c r="E37" s="18" t="n">
        <v>49.08146381</v>
      </c>
      <c r="F37" s="20" t="n">
        <v>3.13765103</v>
      </c>
      <c r="G37" s="18" t="n">
        <v>49.84278794</v>
      </c>
      <c r="H37" s="20" t="n">
        <v>3.30174702</v>
      </c>
      <c r="I37" s="18" t="s">
        <v>349</v>
      </c>
      <c r="J37" s="20" t="s">
        <v>349</v>
      </c>
      <c r="K37" s="18" t="n">
        <v>0.54345129</v>
      </c>
      <c r="L37" s="20" t="n">
        <v>0.38920318</v>
      </c>
      <c r="M37" s="18" t="n">
        <v>0</v>
      </c>
      <c r="N37" s="20" t="n">
        <v>0</v>
      </c>
      <c r="O37" s="18" t="n">
        <v>0</v>
      </c>
      <c r="P37" s="20" t="n">
        <v>0</v>
      </c>
      <c r="Q37" s="18" t="n">
        <v>0.53229697</v>
      </c>
      <c r="R37" s="20" t="n">
        <v>0.37669439</v>
      </c>
    </row>
    <row r="38" spans="1:18">
      <c r="A38" s="15" t="s">
        <v>380</v>
      </c>
      <c r="B38" s="17" t="n">
        <v>3053</v>
      </c>
      <c r="C38" s="18">
        <f>(2586.0/B38*100)</f>
        <v/>
      </c>
      <c r="D38" s="19" t="n">
        <v>467</v>
      </c>
      <c r="E38" s="18" t="n">
        <v>40.24225541</v>
      </c>
      <c r="F38" s="20" t="n">
        <v>2.8678868</v>
      </c>
      <c r="G38" s="18" t="n">
        <v>59.08480784</v>
      </c>
      <c r="H38" s="20" t="n">
        <v>2.83924567</v>
      </c>
      <c r="I38" s="18" t="s">
        <v>349</v>
      </c>
      <c r="J38" s="20" t="s">
        <v>349</v>
      </c>
      <c r="K38" s="18" t="n">
        <v>0</v>
      </c>
      <c r="L38" s="20" t="n">
        <v>0</v>
      </c>
      <c r="M38" s="18" t="n">
        <v>0</v>
      </c>
      <c r="N38" s="20" t="n">
        <v>0</v>
      </c>
      <c r="O38" s="18" t="n">
        <v>0</v>
      </c>
      <c r="P38" s="20" t="n">
        <v>0</v>
      </c>
      <c r="Q38" s="18" t="n">
        <v>0.67293676</v>
      </c>
      <c r="R38" s="20" t="n">
        <v>0.39116494</v>
      </c>
    </row>
    <row r="39" spans="1:18">
      <c r="A39" s="15" t="s">
        <v>381</v>
      </c>
      <c r="B39" s="17" t="n">
        <v>2957</v>
      </c>
      <c r="C39" s="18">
        <f>(2593.0/B39*100)</f>
        <v/>
      </c>
      <c r="D39" s="19" t="n">
        <v>364</v>
      </c>
      <c r="E39" s="18" t="n">
        <v>73.99408676</v>
      </c>
      <c r="F39" s="20" t="n">
        <v>2.64015885</v>
      </c>
      <c r="G39" s="18" t="n">
        <v>24.09446627</v>
      </c>
      <c r="H39" s="20" t="n">
        <v>2.59008986</v>
      </c>
      <c r="I39" s="18" t="s">
        <v>349</v>
      </c>
      <c r="J39" s="20" t="s">
        <v>349</v>
      </c>
      <c r="K39" s="18" t="n">
        <v>0.34279545</v>
      </c>
      <c r="L39" s="20" t="n">
        <v>0.34334112</v>
      </c>
      <c r="M39" s="18" t="n">
        <v>0</v>
      </c>
      <c r="N39" s="20" t="n">
        <v>0</v>
      </c>
      <c r="O39" s="18" t="n">
        <v>0</v>
      </c>
      <c r="P39" s="20" t="n">
        <v>0</v>
      </c>
      <c r="Q39" s="18" t="n">
        <v>1.56865152</v>
      </c>
      <c r="R39" s="20" t="n">
        <v>0.53115828</v>
      </c>
    </row>
    <row r="40" spans="1:18">
      <c r="A40" s="15" t="s">
        <v>382</v>
      </c>
      <c r="B40" s="17" t="n">
        <v>7235</v>
      </c>
      <c r="C40" s="18">
        <f>(6331.0/B40*100)</f>
        <v/>
      </c>
      <c r="D40" s="19" t="n">
        <v>904</v>
      </c>
      <c r="E40" s="18" t="n">
        <v>43.73198772</v>
      </c>
      <c r="F40" s="20" t="n">
        <v>2.496349</v>
      </c>
      <c r="G40" s="18" t="n">
        <v>55.0626897</v>
      </c>
      <c r="H40" s="20" t="n">
        <v>2.62690941</v>
      </c>
      <c r="I40" s="18" t="s">
        <v>349</v>
      </c>
      <c r="J40" s="20" t="s">
        <v>349</v>
      </c>
      <c r="K40" s="18" t="n">
        <v>0</v>
      </c>
      <c r="L40" s="20" t="n">
        <v>0</v>
      </c>
      <c r="M40" s="18" t="n">
        <v>0</v>
      </c>
      <c r="N40" s="20" t="n">
        <v>0</v>
      </c>
      <c r="O40" s="18" t="n">
        <v>0</v>
      </c>
      <c r="P40" s="20" t="n">
        <v>0</v>
      </c>
      <c r="Q40" s="18" t="n">
        <v>1.20532258</v>
      </c>
      <c r="R40" s="20" t="n">
        <v>0.63968468</v>
      </c>
    </row>
    <row r="41" spans="1:18">
      <c r="A41" s="15" t="s">
        <v>383</v>
      </c>
      <c r="B41" s="17" t="n">
        <v>2858</v>
      </c>
      <c r="C41" s="18">
        <f>(2509.0/B41*100)</f>
        <v/>
      </c>
      <c r="D41" s="19" t="n">
        <v>349</v>
      </c>
      <c r="E41" s="18" t="n">
        <v>54.77468366</v>
      </c>
      <c r="F41" s="20" t="n">
        <v>2.67939257</v>
      </c>
      <c r="G41" s="18" t="n">
        <v>44.23749843</v>
      </c>
      <c r="H41" s="20" t="n">
        <v>2.49613008</v>
      </c>
      <c r="I41" s="18" t="s">
        <v>349</v>
      </c>
      <c r="J41" s="20" t="s">
        <v>349</v>
      </c>
      <c r="K41" s="18" t="n">
        <v>0.8210285899999999</v>
      </c>
      <c r="L41" s="20" t="n">
        <v>0.8308439</v>
      </c>
      <c r="M41" s="18" t="n">
        <v>0</v>
      </c>
      <c r="N41" s="20" t="n">
        <v>0</v>
      </c>
      <c r="O41" s="18" t="n">
        <v>0</v>
      </c>
      <c r="P41" s="20" t="n">
        <v>0</v>
      </c>
      <c r="Q41" s="18" t="n">
        <v>0.16678932</v>
      </c>
      <c r="R41" s="20" t="n">
        <v>0.15455358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(9784.0/B46*100)</f>
        <v/>
      </c>
      <c r="D46" s="19" t="n">
        <v>1284</v>
      </c>
      <c r="E46" s="18" t="n">
        <v>69.97855629999999</v>
      </c>
      <c r="F46" s="20" t="n">
        <v>1.52650189</v>
      </c>
      <c r="G46" s="18" t="n">
        <v>28.29813196</v>
      </c>
      <c r="H46" s="20" t="n">
        <v>1.45265543</v>
      </c>
      <c r="I46" s="18" t="s">
        <v>349</v>
      </c>
      <c r="J46" s="20" t="s">
        <v>349</v>
      </c>
      <c r="K46" s="18" t="n">
        <v>0.28585025</v>
      </c>
      <c r="L46" s="20" t="n">
        <v>0.14857799</v>
      </c>
      <c r="M46" s="18" t="n">
        <v>0</v>
      </c>
      <c r="N46" s="20" t="n">
        <v>0</v>
      </c>
      <c r="O46" s="18" t="n">
        <v>0</v>
      </c>
      <c r="P46" s="20" t="n">
        <v>0</v>
      </c>
      <c r="Q46" s="18" t="n">
        <v>1.43746148</v>
      </c>
      <c r="R46" s="20" t="n">
        <v>0.58415329</v>
      </c>
    </row>
    <row r="47" spans="1:18">
      <c r="A47" s="15" t="s">
        <v>389</v>
      </c>
      <c r="B47" s="17" t="n">
        <v>3105</v>
      </c>
      <c r="C47" s="18">
        <f>(2723.0/B47*100)</f>
        <v/>
      </c>
      <c r="D47" s="19" t="n">
        <v>382</v>
      </c>
      <c r="E47" s="18" t="n">
        <v>59.87525165</v>
      </c>
      <c r="F47" s="20" t="n">
        <v>3.33658097</v>
      </c>
      <c r="G47" s="18" t="n">
        <v>39.61716148</v>
      </c>
      <c r="H47" s="20" t="n">
        <v>3.3218985</v>
      </c>
      <c r="I47" s="18" t="s">
        <v>349</v>
      </c>
      <c r="J47" s="20" t="s">
        <v>349</v>
      </c>
      <c r="K47" s="18" t="n">
        <v>0</v>
      </c>
      <c r="L47" s="20" t="n">
        <v>0</v>
      </c>
      <c r="M47" s="18" t="n">
        <v>0</v>
      </c>
      <c r="N47" s="20" t="n">
        <v>0</v>
      </c>
      <c r="O47" s="18" t="n">
        <v>0</v>
      </c>
      <c r="P47" s="20" t="n">
        <v>0</v>
      </c>
      <c r="Q47" s="18" t="n">
        <v>0.50758687</v>
      </c>
      <c r="R47" s="20" t="n">
        <v>0.35360662</v>
      </c>
    </row>
    <row r="48" spans="1:18">
      <c r="A48" s="15" t="s">
        <v>390</v>
      </c>
      <c r="B48" s="17" t="n">
        <v>5159</v>
      </c>
      <c r="C48" s="18">
        <f>(4532.0/B48*100)</f>
        <v/>
      </c>
      <c r="D48" s="19" t="n">
        <v>627</v>
      </c>
      <c r="E48" s="18" t="n">
        <v>42.64472324</v>
      </c>
      <c r="F48" s="20" t="n">
        <v>2.6248154</v>
      </c>
      <c r="G48" s="18" t="n">
        <v>57.12071277</v>
      </c>
      <c r="H48" s="20" t="n">
        <v>2.67338976</v>
      </c>
      <c r="I48" s="18" t="s">
        <v>349</v>
      </c>
      <c r="J48" s="20" t="s">
        <v>349</v>
      </c>
      <c r="K48" s="18" t="n">
        <v>0.23456399</v>
      </c>
      <c r="L48" s="20" t="n">
        <v>0.22023506</v>
      </c>
      <c r="M48" s="18" t="n">
        <v>0</v>
      </c>
      <c r="N48" s="20" t="n">
        <v>0</v>
      </c>
      <c r="O48" s="18" t="n">
        <v>0</v>
      </c>
      <c r="P48" s="20" t="n">
        <v>0</v>
      </c>
      <c r="Q48" s="18" t="n">
        <v>0</v>
      </c>
      <c r="R48" s="20" t="n">
        <v>0</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(4934.0/B50*100)</f>
        <v/>
      </c>
      <c r="D50" s="19" t="n">
        <v>703</v>
      </c>
      <c r="E50" s="18" t="n">
        <v>69.13698861</v>
      </c>
      <c r="F50" s="20" t="n">
        <v>2.64789056</v>
      </c>
      <c r="G50" s="18" t="n">
        <v>29.98820846</v>
      </c>
      <c r="H50" s="20" t="n">
        <v>2.54609586</v>
      </c>
      <c r="I50" s="18" t="s">
        <v>349</v>
      </c>
      <c r="J50" s="20" t="s">
        <v>349</v>
      </c>
      <c r="K50" s="18" t="n">
        <v>0.09374641</v>
      </c>
      <c r="L50" s="20" t="n">
        <v>0.06960284</v>
      </c>
      <c r="M50" s="18" t="n">
        <v>0</v>
      </c>
      <c r="N50" s="20" t="n">
        <v>0</v>
      </c>
      <c r="O50" s="18" t="n">
        <v>0</v>
      </c>
      <c r="P50" s="20" t="n">
        <v>0</v>
      </c>
      <c r="Q50" s="18" t="n">
        <v>0.78105652</v>
      </c>
      <c r="R50" s="20" t="n">
        <v>0.43245319</v>
      </c>
    </row>
    <row r="51" spans="1:18">
      <c r="A51" s="15" t="s">
        <v>393</v>
      </c>
      <c r="B51" s="17" t="n">
        <v>3372</v>
      </c>
      <c r="C51" s="18">
        <f>(3013.0/B51*100)</f>
        <v/>
      </c>
      <c r="D51" s="19" t="n">
        <v>359</v>
      </c>
      <c r="E51" s="18" t="n">
        <v>69.27066727</v>
      </c>
      <c r="F51" s="20" t="n">
        <v>2.860347</v>
      </c>
      <c r="G51" s="18" t="n">
        <v>29.4267291</v>
      </c>
      <c r="H51" s="20" t="n">
        <v>2.82198788</v>
      </c>
      <c r="I51" s="18" t="s">
        <v>349</v>
      </c>
      <c r="J51" s="20" t="s">
        <v>349</v>
      </c>
      <c r="K51" s="18" t="n">
        <v>0</v>
      </c>
      <c r="L51" s="20" t="n">
        <v>0</v>
      </c>
      <c r="M51" s="18" t="n">
        <v>0</v>
      </c>
      <c r="N51" s="20" t="n">
        <v>0</v>
      </c>
      <c r="O51" s="18" t="n">
        <v>0</v>
      </c>
      <c r="P51" s="20" t="n">
        <v>0</v>
      </c>
      <c r="Q51" s="18" t="n">
        <v>1.30260363</v>
      </c>
      <c r="R51" s="20" t="n">
        <v>0.74441651</v>
      </c>
    </row>
    <row r="52" spans="1:18">
      <c r="A52" s="15" t="s">
        <v>394</v>
      </c>
      <c r="B52" s="17" t="n">
        <v>2796</v>
      </c>
      <c r="C52" s="18">
        <f>(2459.0/B52*100)</f>
        <v/>
      </c>
      <c r="D52" s="19" t="n">
        <v>337</v>
      </c>
      <c r="E52" s="18" t="n">
        <v>56.19436586</v>
      </c>
      <c r="F52" s="20" t="n">
        <v>2.57039556</v>
      </c>
      <c r="G52" s="18" t="n">
        <v>43.56975328</v>
      </c>
      <c r="H52" s="20" t="n">
        <v>2.54577868</v>
      </c>
      <c r="I52" s="18" t="s">
        <v>349</v>
      </c>
      <c r="J52" s="20" t="s">
        <v>349</v>
      </c>
      <c r="K52" s="18" t="n">
        <v>0</v>
      </c>
      <c r="L52" s="20" t="n">
        <v>0</v>
      </c>
      <c r="M52" s="18" t="n">
        <v>0</v>
      </c>
      <c r="N52" s="20" t="n">
        <v>0</v>
      </c>
      <c r="O52" s="18" t="n">
        <v>0</v>
      </c>
      <c r="P52" s="20" t="n">
        <v>0</v>
      </c>
      <c r="Q52" s="18" t="n">
        <v>0.23588086</v>
      </c>
      <c r="R52" s="20" t="n">
        <v>0.23874329</v>
      </c>
    </row>
    <row r="53" spans="1:18">
      <c r="A53" s="15" t="s">
        <v>395</v>
      </c>
      <c r="B53" s="17" t="n">
        <v>2811</v>
      </c>
      <c r="C53" s="18">
        <f>(2464.0/B53*100)</f>
        <v/>
      </c>
      <c r="D53" s="19" t="n">
        <v>347</v>
      </c>
      <c r="E53" s="18" t="n">
        <v>64.31962851</v>
      </c>
      <c r="F53" s="20" t="n">
        <v>2.91306561</v>
      </c>
      <c r="G53" s="18" t="n">
        <v>35.01080808</v>
      </c>
      <c r="H53" s="20" t="n">
        <v>2.89383741</v>
      </c>
      <c r="I53" s="18" t="s">
        <v>349</v>
      </c>
      <c r="J53" s="20" t="s">
        <v>349</v>
      </c>
      <c r="K53" s="18" t="n">
        <v>0.20743227</v>
      </c>
      <c r="L53" s="20" t="n">
        <v>0.20654667</v>
      </c>
      <c r="M53" s="18" t="n">
        <v>0</v>
      </c>
      <c r="N53" s="20" t="n">
        <v>0</v>
      </c>
      <c r="O53" s="18" t="n">
        <v>0</v>
      </c>
      <c r="P53" s="20" t="n">
        <v>0</v>
      </c>
      <c r="Q53" s="18" t="n">
        <v>0.46213114</v>
      </c>
      <c r="R53" s="20" t="n">
        <v>0.32553396</v>
      </c>
    </row>
    <row r="54" spans="1:18">
      <c r="A54" s="15" t="s">
        <v>396</v>
      </c>
      <c r="B54" s="17" t="n">
        <v>2266</v>
      </c>
      <c r="C54" s="18">
        <f>(1882.0/B54*100)</f>
        <v/>
      </c>
      <c r="D54" s="19" t="n">
        <v>384</v>
      </c>
      <c r="E54" s="18" t="n">
        <v>82.50393058</v>
      </c>
      <c r="F54" s="20" t="n">
        <v>2.15499251</v>
      </c>
      <c r="G54" s="18" t="n">
        <v>11.81610091</v>
      </c>
      <c r="H54" s="20" t="n">
        <v>1.69873354</v>
      </c>
      <c r="I54" s="18" t="s">
        <v>349</v>
      </c>
      <c r="J54" s="20" t="s">
        <v>349</v>
      </c>
      <c r="K54" s="18" t="n">
        <v>2.7936684</v>
      </c>
      <c r="L54" s="20" t="n">
        <v>1.05573651</v>
      </c>
      <c r="M54" s="18" t="n">
        <v>0</v>
      </c>
      <c r="N54" s="20" t="n">
        <v>0</v>
      </c>
      <c r="O54" s="18" t="n">
        <v>0</v>
      </c>
      <c r="P54" s="20" t="n">
        <v>0</v>
      </c>
      <c r="Q54" s="18" t="n">
        <v>2.88630011</v>
      </c>
      <c r="R54" s="20" t="n">
        <v>1.12058437</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(2366.0/B56*100)</f>
        <v/>
      </c>
      <c r="D56" s="19" t="n">
        <v>318</v>
      </c>
      <c r="E56" s="18" t="n">
        <v>33.19526548</v>
      </c>
      <c r="F56" s="20" t="n">
        <v>2.86071001</v>
      </c>
      <c r="G56" s="18" t="n">
        <v>66.80473452</v>
      </c>
      <c r="H56" s="20" t="n">
        <v>2.86071001</v>
      </c>
      <c r="I56" s="18" t="s">
        <v>349</v>
      </c>
      <c r="J56" s="20" t="s">
        <v>349</v>
      </c>
      <c r="K56" s="18" t="n">
        <v>0</v>
      </c>
      <c r="L56" s="20" t="n">
        <v>0</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(2928.0/B61*100)</f>
        <v/>
      </c>
      <c r="D61" s="19" t="n">
        <v>396</v>
      </c>
      <c r="E61" s="18" t="n">
        <v>50.13190152</v>
      </c>
      <c r="F61" s="20" t="n">
        <v>2.58611642</v>
      </c>
      <c r="G61" s="18" t="n">
        <v>48.93294017</v>
      </c>
      <c r="H61" s="20" t="n">
        <v>2.67377814</v>
      </c>
      <c r="I61" s="18" t="s">
        <v>349</v>
      </c>
      <c r="J61" s="20" t="s">
        <v>349</v>
      </c>
      <c r="K61" s="18" t="n">
        <v>0</v>
      </c>
      <c r="L61" s="20" t="n">
        <v>0</v>
      </c>
      <c r="M61" s="18" t="n">
        <v>0</v>
      </c>
      <c r="N61" s="20" t="n">
        <v>0</v>
      </c>
      <c r="O61" s="18" t="n">
        <v>0</v>
      </c>
      <c r="P61" s="20" t="n">
        <v>0</v>
      </c>
      <c r="Q61" s="18" t="n">
        <v>0.93515831</v>
      </c>
      <c r="R61" s="20" t="n">
        <v>0.53442646</v>
      </c>
    </row>
    <row r="62" spans="1:18">
      <c r="A62" s="15" t="s">
        <v>404</v>
      </c>
      <c r="B62" s="17" t="n">
        <v>2246</v>
      </c>
      <c r="C62" s="18">
        <f>(2001.0/B62*100)</f>
        <v/>
      </c>
      <c r="D62" s="19" t="n">
        <v>245</v>
      </c>
      <c r="E62" s="18" t="n">
        <v>33.14245507</v>
      </c>
      <c r="F62" s="20" t="n">
        <v>3.18789884</v>
      </c>
      <c r="G62" s="18" t="n">
        <v>66.85754493</v>
      </c>
      <c r="H62" s="20" t="n">
        <v>3.18789884</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(2540.0/B66*100)</f>
        <v/>
      </c>
      <c r="D66" s="19" t="n">
        <v>354</v>
      </c>
      <c r="E66" s="18" t="n">
        <v>71.44582006</v>
      </c>
      <c r="F66" s="20" t="n">
        <v>2.61916856</v>
      </c>
      <c r="G66" s="18" t="n">
        <v>26.75005666</v>
      </c>
      <c r="H66" s="20" t="n">
        <v>2.45847361</v>
      </c>
      <c r="I66" s="18" t="s">
        <v>349</v>
      </c>
      <c r="J66" s="20" t="s">
        <v>349</v>
      </c>
      <c r="K66" s="18" t="n">
        <v>0.2764483</v>
      </c>
      <c r="L66" s="20" t="n">
        <v>0.27711714</v>
      </c>
      <c r="M66" s="18" t="n">
        <v>0</v>
      </c>
      <c r="N66" s="20" t="n">
        <v>0</v>
      </c>
      <c r="O66" s="18" t="n">
        <v>0</v>
      </c>
      <c r="P66" s="20" t="n">
        <v>0</v>
      </c>
      <c r="Q66" s="18" t="n">
        <v>1.52767498</v>
      </c>
      <c r="R66" s="20" t="n">
        <v>0.61998373</v>
      </c>
    </row>
    <row r="67" spans="1:18">
      <c r="A67" s="15" t="s">
        <v>409</v>
      </c>
      <c r="B67" s="17" t="n">
        <v>3511</v>
      </c>
      <c r="C67" s="18">
        <f>(3101.0/B67*100)</f>
        <v/>
      </c>
      <c r="D67" s="19" t="n">
        <v>410</v>
      </c>
      <c r="E67" s="18" t="n">
        <v>70.04017811</v>
      </c>
      <c r="F67" s="20" t="n">
        <v>2.69460087</v>
      </c>
      <c r="G67" s="18" t="n">
        <v>29.5833053</v>
      </c>
      <c r="H67" s="20" t="n">
        <v>2.69979634</v>
      </c>
      <c r="I67" s="18" t="s">
        <v>349</v>
      </c>
      <c r="J67" s="20" t="s">
        <v>349</v>
      </c>
      <c r="K67" s="18" t="n">
        <v>0</v>
      </c>
      <c r="L67" s="20" t="n">
        <v>0</v>
      </c>
      <c r="M67" s="18" t="n">
        <v>0</v>
      </c>
      <c r="N67" s="20" t="n">
        <v>0</v>
      </c>
      <c r="O67" s="18" t="n">
        <v>0</v>
      </c>
      <c r="P67" s="20" t="n">
        <v>0</v>
      </c>
      <c r="Q67" s="18" t="n">
        <v>0.37651659</v>
      </c>
      <c r="R67" s="20" t="n">
        <v>0.37470505</v>
      </c>
    </row>
    <row r="68" spans="1:18">
      <c r="A68" s="15" t="s">
        <v>410</v>
      </c>
      <c r="B68" s="17" t="n">
        <v>6049</v>
      </c>
      <c r="C68" s="18">
        <f>(5067.0/B68*100)</f>
        <v/>
      </c>
      <c r="D68" s="19" t="n">
        <v>982</v>
      </c>
      <c r="E68" s="18" t="n">
        <v>70.89581975999999</v>
      </c>
      <c r="F68" s="20" t="n">
        <v>1.44704564</v>
      </c>
      <c r="G68" s="18" t="n">
        <v>26.2476372</v>
      </c>
      <c r="H68" s="20" t="n">
        <v>1.337762</v>
      </c>
      <c r="I68" s="18" t="s">
        <v>349</v>
      </c>
      <c r="J68" s="20" t="s">
        <v>349</v>
      </c>
      <c r="K68" s="18" t="n">
        <v>1.23253784</v>
      </c>
      <c r="L68" s="20" t="n">
        <v>0.31480339</v>
      </c>
      <c r="M68" s="18" t="n">
        <v>0</v>
      </c>
      <c r="N68" s="20" t="n">
        <v>0</v>
      </c>
      <c r="O68" s="18" t="n">
        <v>0</v>
      </c>
      <c r="P68" s="20" t="n">
        <v>0</v>
      </c>
      <c r="Q68" s="18" t="n">
        <v>1.6240052</v>
      </c>
      <c r="R68" s="20" t="n">
        <v>0.43239402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(2601.0/B70*100)</f>
        <v/>
      </c>
      <c r="D70" s="19" t="n">
        <v>328</v>
      </c>
      <c r="E70" s="18" t="n">
        <v>52.4351003</v>
      </c>
      <c r="F70" s="20" t="n">
        <v>3.34684146</v>
      </c>
      <c r="G70" s="18" t="n">
        <v>47.5648997</v>
      </c>
      <c r="H70" s="20" t="n">
        <v>3.34684146</v>
      </c>
      <c r="I70" s="18" t="s">
        <v>349</v>
      </c>
      <c r="J70" s="20" t="s">
        <v>349</v>
      </c>
      <c r="K70" s="18" t="n">
        <v>0</v>
      </c>
      <c r="L70" s="20" t="n">
        <v>0</v>
      </c>
      <c r="M70" s="18" t="n">
        <v>0</v>
      </c>
      <c r="N70" s="20" t="n">
        <v>0</v>
      </c>
      <c r="O70" s="18" t="n">
        <v>0</v>
      </c>
      <c r="P70" s="20" t="n">
        <v>0</v>
      </c>
      <c r="Q70" s="18" t="n">
        <v>0</v>
      </c>
      <c r="R70" s="20" t="n">
        <v>0</v>
      </c>
    </row>
    <row r="71" spans="1:18">
      <c r="A71" s="15" t="s">
        <v>413</v>
      </c>
      <c r="B71" s="17" t="n">
        <v>3142</v>
      </c>
      <c r="C71" s="18">
        <f>(2748.0/B71*100)</f>
        <v/>
      </c>
      <c r="D71" s="19" t="n">
        <v>394</v>
      </c>
      <c r="E71" s="18" t="n">
        <v>28.19191614</v>
      </c>
      <c r="F71" s="20" t="n">
        <v>2.08897424</v>
      </c>
      <c r="G71" s="18" t="n">
        <v>71.51099278</v>
      </c>
      <c r="H71" s="20" t="n">
        <v>2.12127105</v>
      </c>
      <c r="I71" s="18" t="s">
        <v>349</v>
      </c>
      <c r="J71" s="20" t="s">
        <v>349</v>
      </c>
      <c r="K71" s="18" t="n">
        <v>0</v>
      </c>
      <c r="L71" s="20" t="n">
        <v>0</v>
      </c>
      <c r="M71" s="18" t="n">
        <v>0</v>
      </c>
      <c r="N71" s="20" t="n">
        <v>0</v>
      </c>
      <c r="O71" s="18" t="n">
        <v>0</v>
      </c>
      <c r="P71" s="20" t="n">
        <v>0</v>
      </c>
      <c r="Q71" s="18" t="n">
        <v>0.29709108</v>
      </c>
      <c r="R71" s="20" t="n">
        <v>0.29682514</v>
      </c>
    </row>
    <row r="72" spans="1:18">
      <c r="A72" s="15" t="s">
        <v>414</v>
      </c>
      <c r="B72" s="17" t="n">
        <v>3889</v>
      </c>
      <c r="C72" s="18">
        <f>(3402.0/B72*100)</f>
        <v/>
      </c>
      <c r="D72" s="19" t="n">
        <v>487</v>
      </c>
      <c r="E72" s="18" t="n">
        <v>36.66764588</v>
      </c>
      <c r="F72" s="20" t="n">
        <v>2.75845313</v>
      </c>
      <c r="G72" s="18" t="n">
        <v>63.05532123</v>
      </c>
      <c r="H72" s="20" t="n">
        <v>2.71581411</v>
      </c>
      <c r="I72" s="18" t="s">
        <v>349</v>
      </c>
      <c r="J72" s="20" t="s">
        <v>349</v>
      </c>
      <c r="K72" s="18" t="n">
        <v>0.27703289</v>
      </c>
      <c r="L72" s="20" t="n">
        <v>0.27713718</v>
      </c>
      <c r="M72" s="18" t="n">
        <v>0</v>
      </c>
      <c r="N72" s="20" t="n">
        <v>0</v>
      </c>
      <c r="O72" s="18" t="n">
        <v>0</v>
      </c>
      <c r="P72" s="20" t="n">
        <v>0</v>
      </c>
      <c r="Q72" s="18" t="n">
        <v>0</v>
      </c>
      <c r="R72" s="20" t="n">
        <v>0</v>
      </c>
    </row>
    <row r="73" spans="1:18">
      <c r="A73" s="15" t="s">
        <v>415</v>
      </c>
      <c r="B73" s="17" t="n">
        <v>3597</v>
      </c>
      <c r="C73" s="18">
        <f>(3145.0/B73*100)</f>
        <v/>
      </c>
      <c r="D73" s="19" t="n">
        <v>452</v>
      </c>
      <c r="E73" s="18" t="n">
        <v>67.72027342</v>
      </c>
      <c r="F73" s="20" t="n">
        <v>2.72465013</v>
      </c>
      <c r="G73" s="18" t="n">
        <v>32.27972658</v>
      </c>
      <c r="H73" s="20" t="n">
        <v>2.72465013</v>
      </c>
      <c r="I73" s="18" t="s">
        <v>349</v>
      </c>
      <c r="J73" s="20" t="s">
        <v>349</v>
      </c>
      <c r="K73" s="18" t="n">
        <v>0</v>
      </c>
      <c r="L73" s="20" t="n">
        <v>0</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(2123.0/B75*100)</f>
        <v/>
      </c>
      <c r="D75" s="19" t="n">
        <v>283</v>
      </c>
      <c r="E75" s="18" t="n">
        <v>76.46055461</v>
      </c>
      <c r="F75" s="20" t="n">
        <v>3.23830805</v>
      </c>
      <c r="G75" s="18" t="n">
        <v>21.84253029</v>
      </c>
      <c r="H75" s="20" t="n">
        <v>3.21889291</v>
      </c>
      <c r="I75" s="18" t="s">
        <v>349</v>
      </c>
      <c r="J75" s="20" t="s">
        <v>349</v>
      </c>
      <c r="K75" s="18" t="n">
        <v>0.31535652</v>
      </c>
      <c r="L75" s="20" t="n">
        <v>0.28983294</v>
      </c>
      <c r="M75" s="18" t="n">
        <v>0</v>
      </c>
      <c r="N75" s="20" t="n">
        <v>0</v>
      </c>
      <c r="O75" s="18" t="n">
        <v>0</v>
      </c>
      <c r="P75" s="20" t="n">
        <v>0</v>
      </c>
      <c r="Q75" s="18" t="n">
        <v>1.38155859</v>
      </c>
      <c r="R75" s="20" t="n">
        <v>0.60227167</v>
      </c>
    </row>
    <row r="76" spans="1:18">
      <c r="A76" s="15" t="s">
        <v>418</v>
      </c>
      <c r="B76" s="17" t="n">
        <v>7052</v>
      </c>
      <c r="C76" s="18">
        <f>(6209.0/B76*100)</f>
        <v/>
      </c>
      <c r="D76" s="19" t="n">
        <v>843</v>
      </c>
      <c r="E76" s="18" t="n">
        <v>65.53812886</v>
      </c>
      <c r="F76" s="20" t="n">
        <v>1.87155351</v>
      </c>
      <c r="G76" s="18" t="n">
        <v>32.46621731</v>
      </c>
      <c r="H76" s="20" t="n">
        <v>1.87726091</v>
      </c>
      <c r="I76" s="18" t="s">
        <v>349</v>
      </c>
      <c r="J76" s="20" t="s">
        <v>349</v>
      </c>
      <c r="K76" s="18" t="n">
        <v>1.13729751</v>
      </c>
      <c r="L76" s="20" t="n">
        <v>0.38230261</v>
      </c>
      <c r="M76" s="18" t="n">
        <v>0</v>
      </c>
      <c r="N76" s="20" t="n">
        <v>0</v>
      </c>
      <c r="O76" s="18" t="n">
        <v>0</v>
      </c>
      <c r="P76" s="20" t="n">
        <v>0</v>
      </c>
      <c r="Q76" s="18" t="n">
        <v>0.85835632</v>
      </c>
      <c r="R76" s="20" t="n">
        <v>0.39261735</v>
      </c>
    </row>
    <row r="77" spans="1:18">
      <c r="A77" s="15" t="s">
        <v>419</v>
      </c>
      <c r="B77" s="17" t="n">
        <v>2908</v>
      </c>
      <c r="C77" s="18">
        <f>(2536.0/B77*100)</f>
        <v/>
      </c>
      <c r="D77" s="19" t="n">
        <v>372</v>
      </c>
      <c r="E77" s="18" t="n">
        <v>62.73882094</v>
      </c>
      <c r="F77" s="20" t="n">
        <v>2.69432596</v>
      </c>
      <c r="G77" s="18" t="n">
        <v>36.87977843</v>
      </c>
      <c r="H77" s="20" t="n">
        <v>2.70584457</v>
      </c>
      <c r="I77" s="18" t="s">
        <v>349</v>
      </c>
      <c r="J77" s="20" t="s">
        <v>349</v>
      </c>
      <c r="K77" s="18" t="n">
        <v>0</v>
      </c>
      <c r="L77" s="20" t="n">
        <v>0</v>
      </c>
      <c r="M77" s="18" t="n">
        <v>0</v>
      </c>
      <c r="N77" s="20" t="n">
        <v>0</v>
      </c>
      <c r="O77" s="18" t="n">
        <v>0</v>
      </c>
      <c r="P77" s="20" t="n">
        <v>0</v>
      </c>
      <c r="Q77" s="18" t="n">
        <v>0.38140063</v>
      </c>
      <c r="R77" s="20" t="n">
        <v>0.27006974</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(3647.0/B81*100)</f>
        <v/>
      </c>
      <c r="D81" s="19" t="n">
        <v>516</v>
      </c>
      <c r="E81" s="18" t="n">
        <v>63.27390791</v>
      </c>
      <c r="F81" s="20" t="n">
        <v>2.84083103</v>
      </c>
      <c r="G81" s="18" t="n">
        <v>36.70684623</v>
      </c>
      <c r="H81" s="20" t="n">
        <v>2.95084274</v>
      </c>
      <c r="I81" s="18" t="s">
        <v>349</v>
      </c>
      <c r="J81" s="20" t="s">
        <v>349</v>
      </c>
      <c r="K81" s="18" t="n">
        <v>0.01924586</v>
      </c>
      <c r="L81" s="20" t="n">
        <v>0.65271905</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(6480.0/B7*100)</f>
        <v/>
      </c>
      <c r="D7" s="19" t="n">
        <v>887</v>
      </c>
      <c r="E7" s="18" t="n">
        <v>25.54682172</v>
      </c>
      <c r="F7" s="20" t="n">
        <v>1.69195256</v>
      </c>
      <c r="G7" s="18" t="n">
        <v>71.08789537</v>
      </c>
      <c r="H7" s="20" t="n">
        <v>1.74286519</v>
      </c>
      <c r="I7" s="18" t="s">
        <v>349</v>
      </c>
      <c r="J7" s="20" t="s">
        <v>349</v>
      </c>
      <c r="K7" s="18" t="n">
        <v>0.21910123</v>
      </c>
      <c r="L7" s="20" t="n">
        <v>0.17784877</v>
      </c>
      <c r="M7" s="18" t="n">
        <v>0</v>
      </c>
      <c r="N7" s="20" t="n">
        <v>0</v>
      </c>
      <c r="O7" s="18" t="n">
        <v>0</v>
      </c>
      <c r="P7" s="20" t="n">
        <v>0</v>
      </c>
      <c r="Q7" s="18" t="n">
        <v>3.14618168</v>
      </c>
      <c r="R7" s="20" t="n">
        <v>0.60369974</v>
      </c>
    </row>
    <row r="8" spans="1:18">
      <c r="A8" s="15" t="s">
        <v>350</v>
      </c>
      <c r="B8" s="17" t="n">
        <v>3564</v>
      </c>
      <c r="C8" s="18">
        <f>(3126.0/B8*100)</f>
        <v/>
      </c>
      <c r="D8" s="19" t="n">
        <v>438</v>
      </c>
      <c r="E8" s="18" t="n">
        <v>23.53948346</v>
      </c>
      <c r="F8" s="20" t="n">
        <v>2.45406163</v>
      </c>
      <c r="G8" s="18" t="n">
        <v>74.16109984000001</v>
      </c>
      <c r="H8" s="20" t="n">
        <v>2.33335813</v>
      </c>
      <c r="I8" s="18" t="s">
        <v>349</v>
      </c>
      <c r="J8" s="20" t="s">
        <v>349</v>
      </c>
      <c r="K8" s="18" t="n">
        <v>0</v>
      </c>
      <c r="L8" s="20" t="n">
        <v>0</v>
      </c>
      <c r="M8" s="18" t="n">
        <v>0</v>
      </c>
      <c r="N8" s="20" t="n">
        <v>0</v>
      </c>
      <c r="O8" s="18" t="n">
        <v>0</v>
      </c>
      <c r="P8" s="20" t="n">
        <v>0</v>
      </c>
      <c r="Q8" s="18" t="n">
        <v>2.2994167</v>
      </c>
      <c r="R8" s="20" t="n">
        <v>0.70534058</v>
      </c>
    </row>
    <row r="9" spans="1:18">
      <c r="A9" s="15" t="s">
        <v>351</v>
      </c>
      <c r="B9" s="17" t="n">
        <v>4899</v>
      </c>
      <c r="C9" s="18">
        <f>(4298.0/B9*100)</f>
        <v/>
      </c>
      <c r="D9" s="19" t="n">
        <v>601</v>
      </c>
      <c r="E9" s="18" t="n">
        <v>21.08777669</v>
      </c>
      <c r="F9" s="20" t="n">
        <v>1.84205283</v>
      </c>
      <c r="G9" s="18" t="n">
        <v>75.4793963</v>
      </c>
      <c r="H9" s="20" t="n">
        <v>2.07843702</v>
      </c>
      <c r="I9" s="18" t="s">
        <v>349</v>
      </c>
      <c r="J9" s="20" t="s">
        <v>349</v>
      </c>
      <c r="K9" s="18" t="n">
        <v>0.56975782</v>
      </c>
      <c r="L9" s="20" t="n">
        <v>0.4338429</v>
      </c>
      <c r="M9" s="18" t="n">
        <v>0</v>
      </c>
      <c r="N9" s="20" t="n">
        <v>0</v>
      </c>
      <c r="O9" s="18" t="n">
        <v>0</v>
      </c>
      <c r="P9" s="20" t="n">
        <v>0</v>
      </c>
      <c r="Q9" s="18" t="n">
        <v>2.86306919</v>
      </c>
      <c r="R9" s="20" t="n">
        <v>0.81974103</v>
      </c>
    </row>
    <row r="10" spans="1:18">
      <c r="A10" s="15" t="s">
        <v>352</v>
      </c>
      <c r="B10" s="17" t="n">
        <v>10036</v>
      </c>
      <c r="C10" s="18">
        <f>(8788.0/B10*100)</f>
        <v/>
      </c>
      <c r="D10" s="19" t="n">
        <v>1248</v>
      </c>
      <c r="E10" s="18" t="n">
        <v>27.13805611</v>
      </c>
      <c r="F10" s="20" t="n">
        <v>2.08641226</v>
      </c>
      <c r="G10" s="18" t="n">
        <v>71.34085743999999</v>
      </c>
      <c r="H10" s="20" t="n">
        <v>2.14449123</v>
      </c>
      <c r="I10" s="18" t="s">
        <v>349</v>
      </c>
      <c r="J10" s="20" t="s">
        <v>349</v>
      </c>
      <c r="K10" s="18" t="n">
        <v>0.3290475</v>
      </c>
      <c r="L10" s="20" t="n">
        <v>0.21887321</v>
      </c>
      <c r="M10" s="18" t="n">
        <v>0</v>
      </c>
      <c r="N10" s="20" t="n">
        <v>0</v>
      </c>
      <c r="O10" s="18" t="n">
        <v>0</v>
      </c>
      <c r="P10" s="20" t="n">
        <v>0</v>
      </c>
      <c r="Q10" s="18" t="n">
        <v>1.19203895</v>
      </c>
      <c r="R10" s="20" t="n">
        <v>0.42702702</v>
      </c>
    </row>
    <row r="11" spans="1:18">
      <c r="A11" s="15" t="s">
        <v>353</v>
      </c>
      <c r="B11" s="17" t="n">
        <v>3553</v>
      </c>
      <c r="C11" s="18">
        <f>(3121.0/B11*100)</f>
        <v/>
      </c>
      <c r="D11" s="19" t="n">
        <v>432</v>
      </c>
      <c r="E11" s="18" t="n">
        <v>33.42644385</v>
      </c>
      <c r="F11" s="20" t="n">
        <v>2.83719367</v>
      </c>
      <c r="G11" s="18" t="n">
        <v>61.03763364</v>
      </c>
      <c r="H11" s="20" t="n">
        <v>2.82153011</v>
      </c>
      <c r="I11" s="18" t="s">
        <v>349</v>
      </c>
      <c r="J11" s="20" t="s">
        <v>349</v>
      </c>
      <c r="K11" s="18" t="n">
        <v>0.27330342</v>
      </c>
      <c r="L11" s="20" t="n">
        <v>0.23711746</v>
      </c>
      <c r="M11" s="18" t="n">
        <v>0</v>
      </c>
      <c r="N11" s="20" t="n">
        <v>0</v>
      </c>
      <c r="O11" s="18" t="n">
        <v>0</v>
      </c>
      <c r="P11" s="20" t="n">
        <v>0</v>
      </c>
      <c r="Q11" s="18" t="n">
        <v>5.26261909</v>
      </c>
      <c r="R11" s="20" t="n">
        <v>1.28069411</v>
      </c>
    </row>
    <row r="12" spans="1:18">
      <c r="A12" s="15" t="s">
        <v>354</v>
      </c>
      <c r="B12" s="17" t="n">
        <v>3472</v>
      </c>
      <c r="C12" s="18">
        <f>(3072.0/B12*100)</f>
        <v/>
      </c>
      <c r="D12" s="19" t="n">
        <v>400</v>
      </c>
      <c r="E12" s="18" t="n">
        <v>24.5402438</v>
      </c>
      <c r="F12" s="20" t="n">
        <v>2.39996934</v>
      </c>
      <c r="G12" s="18" t="n">
        <v>72.83041722999999</v>
      </c>
      <c r="H12" s="20" t="n">
        <v>2.57758321</v>
      </c>
      <c r="I12" s="18" t="s">
        <v>349</v>
      </c>
      <c r="J12" s="20" t="s">
        <v>349</v>
      </c>
      <c r="K12" s="18" t="n">
        <v>0</v>
      </c>
      <c r="L12" s="20" t="n">
        <v>0</v>
      </c>
      <c r="M12" s="18" t="n">
        <v>0</v>
      </c>
      <c r="N12" s="20" t="n">
        <v>0</v>
      </c>
      <c r="O12" s="18" t="n">
        <v>0</v>
      </c>
      <c r="P12" s="20" t="n">
        <v>0</v>
      </c>
      <c r="Q12" s="18" t="n">
        <v>2.62933897</v>
      </c>
      <c r="R12" s="20" t="n">
        <v>1.06071664</v>
      </c>
    </row>
    <row r="13" spans="1:18">
      <c r="A13" s="15" t="s">
        <v>355</v>
      </c>
      <c r="B13" s="17" t="n">
        <v>3559</v>
      </c>
      <c r="C13" s="18">
        <f>(3158.0/B13*100)</f>
        <v/>
      </c>
      <c r="D13" s="19" t="n">
        <v>401</v>
      </c>
      <c r="E13" s="18" t="n">
        <v>29.92820064</v>
      </c>
      <c r="F13" s="20" t="n">
        <v>2.57424614</v>
      </c>
      <c r="G13" s="18" t="n">
        <v>68.20180367</v>
      </c>
      <c r="H13" s="20" t="n">
        <v>2.55544318</v>
      </c>
      <c r="I13" s="18" t="s">
        <v>349</v>
      </c>
      <c r="J13" s="20" t="s">
        <v>349</v>
      </c>
      <c r="K13" s="18" t="n">
        <v>0.53484378</v>
      </c>
      <c r="L13" s="20" t="n">
        <v>0.37463942</v>
      </c>
      <c r="M13" s="18" t="n">
        <v>0</v>
      </c>
      <c r="N13" s="20" t="n">
        <v>0</v>
      </c>
      <c r="O13" s="18" t="n">
        <v>0</v>
      </c>
      <c r="P13" s="20" t="n">
        <v>0</v>
      </c>
      <c r="Q13" s="18" t="n">
        <v>1.33515191</v>
      </c>
      <c r="R13" s="20" t="n">
        <v>0.64759912</v>
      </c>
    </row>
    <row r="14" spans="1:18">
      <c r="A14" s="15" t="s">
        <v>356</v>
      </c>
      <c r="B14" s="17" t="n">
        <v>2799</v>
      </c>
      <c r="C14" s="18">
        <f>(2453.0/B14*100)</f>
        <v/>
      </c>
      <c r="D14" s="19" t="n">
        <v>346</v>
      </c>
      <c r="E14" s="18" t="n">
        <v>21.5101091</v>
      </c>
      <c r="F14" s="20" t="n">
        <v>2.4161034</v>
      </c>
      <c r="G14" s="18" t="n">
        <v>76.93679733</v>
      </c>
      <c r="H14" s="20" t="n">
        <v>2.44403914</v>
      </c>
      <c r="I14" s="18" t="s">
        <v>349</v>
      </c>
      <c r="J14" s="20" t="s">
        <v>349</v>
      </c>
      <c r="K14" s="18" t="n">
        <v>0.23169625</v>
      </c>
      <c r="L14" s="20" t="n">
        <v>0.23243413</v>
      </c>
      <c r="M14" s="18" t="n">
        <v>0</v>
      </c>
      <c r="N14" s="20" t="n">
        <v>0</v>
      </c>
      <c r="O14" s="18" t="n">
        <v>0</v>
      </c>
      <c r="P14" s="20" t="n">
        <v>0</v>
      </c>
      <c r="Q14" s="18" t="n">
        <v>1.32139732</v>
      </c>
      <c r="R14" s="20" t="n">
        <v>0.53820461</v>
      </c>
    </row>
    <row r="15" spans="1:18">
      <c r="A15" s="15" t="s">
        <v>357</v>
      </c>
      <c r="B15" s="17" t="n">
        <v>3019</v>
      </c>
      <c r="C15" s="18">
        <f>(2644.0/B15*100)</f>
        <v/>
      </c>
      <c r="D15" s="19" t="n">
        <v>375</v>
      </c>
      <c r="E15" s="18" t="n">
        <v>25.94038627</v>
      </c>
      <c r="F15" s="20" t="n">
        <v>2.45177716</v>
      </c>
      <c r="G15" s="18" t="n">
        <v>72.02364095999999</v>
      </c>
      <c r="H15" s="20" t="n">
        <v>2.4880091</v>
      </c>
      <c r="I15" s="18" t="s">
        <v>349</v>
      </c>
      <c r="J15" s="20" t="s">
        <v>349</v>
      </c>
      <c r="K15" s="18" t="n">
        <v>0</v>
      </c>
      <c r="L15" s="20" t="n">
        <v>0</v>
      </c>
      <c r="M15" s="18" t="n">
        <v>0</v>
      </c>
      <c r="N15" s="20" t="n">
        <v>0</v>
      </c>
      <c r="O15" s="18" t="n">
        <v>0</v>
      </c>
      <c r="P15" s="20" t="n">
        <v>0</v>
      </c>
      <c r="Q15" s="18" t="n">
        <v>2.03597277</v>
      </c>
      <c r="R15" s="20" t="n">
        <v>0.7153924</v>
      </c>
    </row>
    <row r="16" spans="1:18">
      <c r="A16" s="15" t="s">
        <v>358</v>
      </c>
      <c r="B16" s="17" t="n">
        <v>2997</v>
      </c>
      <c r="C16" s="18">
        <f>(2619.0/B16*100)</f>
        <v/>
      </c>
      <c r="D16" s="19" t="n">
        <v>378</v>
      </c>
      <c r="E16" s="18" t="n">
        <v>27.42214126</v>
      </c>
      <c r="F16" s="20" t="n">
        <v>2.42233823</v>
      </c>
      <c r="G16" s="18" t="n">
        <v>66.74259085</v>
      </c>
      <c r="H16" s="20" t="n">
        <v>2.623364</v>
      </c>
      <c r="I16" s="18" t="s">
        <v>349</v>
      </c>
      <c r="J16" s="20" t="s">
        <v>349</v>
      </c>
      <c r="K16" s="18" t="n">
        <v>0.26523683</v>
      </c>
      <c r="L16" s="20" t="n">
        <v>0.2169782</v>
      </c>
      <c r="M16" s="18" t="n">
        <v>0</v>
      </c>
      <c r="N16" s="20" t="n">
        <v>0</v>
      </c>
      <c r="O16" s="18" t="n">
        <v>0</v>
      </c>
      <c r="P16" s="20" t="n">
        <v>0</v>
      </c>
      <c r="Q16" s="18" t="n">
        <v>5.57003106</v>
      </c>
      <c r="R16" s="20" t="n">
        <v>1.5114307</v>
      </c>
    </row>
    <row r="17" spans="1:18">
      <c r="A17" s="15" t="s">
        <v>359</v>
      </c>
      <c r="B17" s="17" t="n">
        <v>3307</v>
      </c>
      <c r="C17" s="18">
        <f>(2916.0/B17*100)</f>
        <v/>
      </c>
      <c r="D17" s="19" t="n">
        <v>391</v>
      </c>
      <c r="E17" s="18" t="n">
        <v>26.10691539</v>
      </c>
      <c r="F17" s="20" t="n">
        <v>1.92855019</v>
      </c>
      <c r="G17" s="18" t="n">
        <v>70.95130039</v>
      </c>
      <c r="H17" s="20" t="n">
        <v>2.06544188</v>
      </c>
      <c r="I17" s="18" t="s">
        <v>349</v>
      </c>
      <c r="J17" s="20" t="s">
        <v>349</v>
      </c>
      <c r="K17" s="18" t="n">
        <v>0</v>
      </c>
      <c r="L17" s="20" t="n">
        <v>0</v>
      </c>
      <c r="M17" s="18" t="n">
        <v>0</v>
      </c>
      <c r="N17" s="20" t="n">
        <v>0</v>
      </c>
      <c r="O17" s="18" t="n">
        <v>0</v>
      </c>
      <c r="P17" s="20" t="n">
        <v>0</v>
      </c>
      <c r="Q17" s="18" t="n">
        <v>2.94178422</v>
      </c>
      <c r="R17" s="20" t="n">
        <v>0.73585382</v>
      </c>
    </row>
    <row r="18" spans="1:18">
      <c r="A18" s="15" t="s">
        <v>360</v>
      </c>
      <c r="B18" s="17" t="n">
        <v>2826</v>
      </c>
      <c r="C18" s="18">
        <f>(2499.0/B18*100)</f>
        <v/>
      </c>
      <c r="D18" s="19" t="n">
        <v>327</v>
      </c>
      <c r="E18" s="18" t="n">
        <v>36.18052373</v>
      </c>
      <c r="F18" s="20" t="n">
        <v>3.03398262</v>
      </c>
      <c r="G18" s="18" t="n">
        <v>58.26134752</v>
      </c>
      <c r="H18" s="20" t="n">
        <v>3.19941261</v>
      </c>
      <c r="I18" s="18" t="s">
        <v>349</v>
      </c>
      <c r="J18" s="20" t="s">
        <v>349</v>
      </c>
      <c r="K18" s="18" t="n">
        <v>0</v>
      </c>
      <c r="L18" s="20" t="n">
        <v>0</v>
      </c>
      <c r="M18" s="18" t="n">
        <v>0</v>
      </c>
      <c r="N18" s="20" t="n">
        <v>0</v>
      </c>
      <c r="O18" s="18" t="n">
        <v>0</v>
      </c>
      <c r="P18" s="20" t="n">
        <v>0</v>
      </c>
      <c r="Q18" s="18" t="n">
        <v>5.55812876</v>
      </c>
      <c r="R18" s="20" t="n">
        <v>1.53390395</v>
      </c>
    </row>
    <row r="19" spans="1:18">
      <c r="A19" s="15" t="s">
        <v>361</v>
      </c>
      <c r="B19" s="17" t="n">
        <v>2808</v>
      </c>
      <c r="C19" s="18">
        <f>(2465.0/B19*100)</f>
        <v/>
      </c>
      <c r="D19" s="19" t="n">
        <v>343</v>
      </c>
      <c r="E19" s="18" t="n">
        <v>23.68777601</v>
      </c>
      <c r="F19" s="20" t="n">
        <v>2.39031678</v>
      </c>
      <c r="G19" s="18" t="n">
        <v>69.53061918</v>
      </c>
      <c r="H19" s="20" t="n">
        <v>2.70681499</v>
      </c>
      <c r="I19" s="18" t="s">
        <v>349</v>
      </c>
      <c r="J19" s="20" t="s">
        <v>349</v>
      </c>
      <c r="K19" s="18" t="n">
        <v>0</v>
      </c>
      <c r="L19" s="20" t="n">
        <v>0</v>
      </c>
      <c r="M19" s="18" t="n">
        <v>0</v>
      </c>
      <c r="N19" s="20" t="n">
        <v>0</v>
      </c>
      <c r="O19" s="18" t="n">
        <v>0</v>
      </c>
      <c r="P19" s="20" t="n">
        <v>0</v>
      </c>
      <c r="Q19" s="18" t="n">
        <v>6.78160481</v>
      </c>
      <c r="R19" s="20" t="n">
        <v>1.6857181</v>
      </c>
    </row>
    <row r="20" spans="1:18">
      <c r="A20" s="15" t="s">
        <v>362</v>
      </c>
      <c r="B20" s="17" t="n">
        <v>1630</v>
      </c>
      <c r="C20" s="18">
        <f>(1425.0/B20*100)</f>
        <v/>
      </c>
      <c r="D20" s="19" t="n">
        <v>205</v>
      </c>
      <c r="E20" s="18" t="n">
        <v>30.23696349</v>
      </c>
      <c r="F20" s="20" t="n">
        <v>3.16502269</v>
      </c>
      <c r="G20" s="18" t="n">
        <v>67.29222029</v>
      </c>
      <c r="H20" s="20" t="n">
        <v>3.21525068</v>
      </c>
      <c r="I20" s="18" t="s">
        <v>349</v>
      </c>
      <c r="J20" s="20" t="s">
        <v>349</v>
      </c>
      <c r="K20" s="18" t="n">
        <v>0.45879685</v>
      </c>
      <c r="L20" s="20" t="n">
        <v>0.45946854</v>
      </c>
      <c r="M20" s="18" t="n">
        <v>0</v>
      </c>
      <c r="N20" s="20" t="n">
        <v>0</v>
      </c>
      <c r="O20" s="18" t="n">
        <v>0</v>
      </c>
      <c r="P20" s="20" t="n">
        <v>0</v>
      </c>
      <c r="Q20" s="18" t="n">
        <v>2.01201937</v>
      </c>
      <c r="R20" s="20" t="n">
        <v>1.05272984</v>
      </c>
    </row>
    <row r="21" spans="1:18">
      <c r="A21" s="15" t="s">
        <v>363</v>
      </c>
      <c r="B21" s="17" t="n">
        <v>2908</v>
      </c>
      <c r="C21" s="18">
        <f>(2436.0/B21*100)</f>
        <v/>
      </c>
      <c r="D21" s="19" t="n">
        <v>472</v>
      </c>
      <c r="E21" s="18" t="n">
        <v>24.67759481</v>
      </c>
      <c r="F21" s="20" t="n">
        <v>1.90507633</v>
      </c>
      <c r="G21" s="18" t="n">
        <v>73.57094508</v>
      </c>
      <c r="H21" s="20" t="n">
        <v>2.02567027</v>
      </c>
      <c r="I21" s="18" t="s">
        <v>349</v>
      </c>
      <c r="J21" s="20" t="s">
        <v>349</v>
      </c>
      <c r="K21" s="18" t="n">
        <v>0</v>
      </c>
      <c r="L21" s="20" t="n">
        <v>0</v>
      </c>
      <c r="M21" s="18" t="n">
        <v>0</v>
      </c>
      <c r="N21" s="20" t="n">
        <v>0</v>
      </c>
      <c r="O21" s="18" t="n">
        <v>0</v>
      </c>
      <c r="P21" s="20" t="n">
        <v>0</v>
      </c>
      <c r="Q21" s="18" t="n">
        <v>1.7514601</v>
      </c>
      <c r="R21" s="20" t="n">
        <v>0.51566247</v>
      </c>
    </row>
    <row r="22" spans="1:18">
      <c r="A22" s="15" t="s">
        <v>364</v>
      </c>
      <c r="B22" s="17" t="n">
        <v>2931</v>
      </c>
      <c r="C22" s="18">
        <f>(2552.0/B22*100)</f>
        <v/>
      </c>
      <c r="D22" s="19" t="n">
        <v>379</v>
      </c>
      <c r="E22" s="18" t="n">
        <v>33.74681336</v>
      </c>
      <c r="F22" s="20" t="n">
        <v>2.51810748</v>
      </c>
      <c r="G22" s="18" t="n">
        <v>62.41347217</v>
      </c>
      <c r="H22" s="20" t="n">
        <v>2.48121844</v>
      </c>
      <c r="I22" s="18" t="s">
        <v>349</v>
      </c>
      <c r="J22" s="20" t="s">
        <v>349</v>
      </c>
      <c r="K22" s="18" t="n">
        <v>0.21362447</v>
      </c>
      <c r="L22" s="20" t="n">
        <v>0.21388762</v>
      </c>
      <c r="M22" s="18" t="n">
        <v>0</v>
      </c>
      <c r="N22" s="20" t="n">
        <v>0</v>
      </c>
      <c r="O22" s="18" t="n">
        <v>0</v>
      </c>
      <c r="P22" s="20" t="n">
        <v>0</v>
      </c>
      <c r="Q22" s="18" t="n">
        <v>3.62609</v>
      </c>
      <c r="R22" s="20" t="n">
        <v>0.94044781</v>
      </c>
    </row>
    <row r="23" spans="1:18">
      <c r="A23" s="15" t="s">
        <v>365</v>
      </c>
      <c r="B23" s="17" t="n">
        <v>5791</v>
      </c>
      <c r="C23" s="18">
        <f>(5089.0/B23*100)</f>
        <v/>
      </c>
      <c r="D23" s="19" t="n">
        <v>702</v>
      </c>
      <c r="E23" s="18" t="n">
        <v>27.59493141</v>
      </c>
      <c r="F23" s="20" t="n">
        <v>2.54517386</v>
      </c>
      <c r="G23" s="18" t="n">
        <v>68.54125338999999</v>
      </c>
      <c r="H23" s="20" t="n">
        <v>2.47222694</v>
      </c>
      <c r="I23" s="18" t="s">
        <v>349</v>
      </c>
      <c r="J23" s="20" t="s">
        <v>349</v>
      </c>
      <c r="K23" s="18" t="n">
        <v>0.01195932</v>
      </c>
      <c r="L23" s="20" t="n">
        <v>0.01202932</v>
      </c>
      <c r="M23" s="18" t="n">
        <v>0</v>
      </c>
      <c r="N23" s="20" t="n">
        <v>0</v>
      </c>
      <c r="O23" s="18" t="n">
        <v>0</v>
      </c>
      <c r="P23" s="20" t="n">
        <v>0</v>
      </c>
      <c r="Q23" s="18" t="n">
        <v>3.85185587</v>
      </c>
      <c r="R23" s="20" t="n">
        <v>0.90945572</v>
      </c>
    </row>
    <row r="24" spans="1:18">
      <c r="A24" s="15" t="s">
        <v>366</v>
      </c>
      <c r="B24" s="17" t="n">
        <v>3338</v>
      </c>
      <c r="C24" s="18">
        <f>(2907.0/B24*100)</f>
        <v/>
      </c>
      <c r="D24" s="19" t="n">
        <v>431</v>
      </c>
      <c r="E24" s="18" t="n">
        <v>23.47752281</v>
      </c>
      <c r="F24" s="20" t="n">
        <v>1.76457865</v>
      </c>
      <c r="G24" s="18" t="n">
        <v>73.68391212</v>
      </c>
      <c r="H24" s="20" t="n">
        <v>1.91376499</v>
      </c>
      <c r="I24" s="18" t="s">
        <v>349</v>
      </c>
      <c r="J24" s="20" t="s">
        <v>349</v>
      </c>
      <c r="K24" s="18" t="n">
        <v>0.21372961</v>
      </c>
      <c r="L24" s="20" t="n">
        <v>0.21551997</v>
      </c>
      <c r="M24" s="18" t="n">
        <v>0</v>
      </c>
      <c r="N24" s="20" t="n">
        <v>0</v>
      </c>
      <c r="O24" s="18" t="n">
        <v>0</v>
      </c>
      <c r="P24" s="20" t="n">
        <v>0</v>
      </c>
      <c r="Q24" s="18" t="n">
        <v>2.62483547</v>
      </c>
      <c r="R24" s="20" t="n">
        <v>0.66397409</v>
      </c>
    </row>
    <row r="25" spans="1:18">
      <c r="A25" s="15" t="s">
        <v>367</v>
      </c>
      <c r="B25" s="17" t="n">
        <v>2912</v>
      </c>
      <c r="C25" s="18">
        <f>(2563.0/B25*100)</f>
        <v/>
      </c>
      <c r="D25" s="19" t="n">
        <v>349</v>
      </c>
      <c r="E25" s="18" t="n">
        <v>26.46902384</v>
      </c>
      <c r="F25" s="20" t="n">
        <v>2.52008684</v>
      </c>
      <c r="G25" s="18" t="n">
        <v>71.00941194000001</v>
      </c>
      <c r="H25" s="20" t="n">
        <v>2.60900286</v>
      </c>
      <c r="I25" s="18" t="s">
        <v>349</v>
      </c>
      <c r="J25" s="20" t="s">
        <v>349</v>
      </c>
      <c r="K25" s="18" t="n">
        <v>0</v>
      </c>
      <c r="L25" s="20" t="n">
        <v>0</v>
      </c>
      <c r="M25" s="18" t="n">
        <v>0</v>
      </c>
      <c r="N25" s="20" t="n">
        <v>0</v>
      </c>
      <c r="O25" s="18" t="n">
        <v>0</v>
      </c>
      <c r="P25" s="20" t="n">
        <v>0</v>
      </c>
      <c r="Q25" s="18" t="n">
        <v>2.52156423</v>
      </c>
      <c r="R25" s="20" t="n">
        <v>0.90069835</v>
      </c>
    </row>
    <row r="26" spans="1:18">
      <c r="A26" s="15" t="s">
        <v>368</v>
      </c>
      <c r="B26" s="17" t="n">
        <v>2450</v>
      </c>
      <c r="C26" s="18">
        <f>(2161.0/B26*100)</f>
        <v/>
      </c>
      <c r="D26" s="19" t="n">
        <v>289</v>
      </c>
      <c r="E26" s="18" t="n">
        <v>23.89032855</v>
      </c>
      <c r="F26" s="20" t="n">
        <v>2.35883265</v>
      </c>
      <c r="G26" s="18" t="n">
        <v>74.31255806</v>
      </c>
      <c r="H26" s="20" t="n">
        <v>2.56319011</v>
      </c>
      <c r="I26" s="18" t="s">
        <v>349</v>
      </c>
      <c r="J26" s="20" t="s">
        <v>349</v>
      </c>
      <c r="K26" s="18" t="n">
        <v>0</v>
      </c>
      <c r="L26" s="20" t="n">
        <v>0</v>
      </c>
      <c r="M26" s="18" t="n">
        <v>0</v>
      </c>
      <c r="N26" s="20" t="n">
        <v>0</v>
      </c>
      <c r="O26" s="18" t="n">
        <v>0</v>
      </c>
      <c r="P26" s="20" t="n">
        <v>0</v>
      </c>
      <c r="Q26" s="18" t="n">
        <v>1.7971134</v>
      </c>
      <c r="R26" s="20" t="n">
        <v>0.80161161</v>
      </c>
    </row>
    <row r="27" spans="1:18">
      <c r="A27" s="15" t="s">
        <v>369</v>
      </c>
      <c r="B27" s="17" t="n">
        <v>2616</v>
      </c>
      <c r="C27" s="18">
        <f>(2288.0/B27*100)</f>
        <v/>
      </c>
      <c r="D27" s="19" t="n">
        <v>328</v>
      </c>
      <c r="E27" s="18" t="n">
        <v>23.09357416</v>
      </c>
      <c r="F27" s="20" t="n">
        <v>2.64125792</v>
      </c>
      <c r="G27" s="18" t="n">
        <v>71.97379549</v>
      </c>
      <c r="H27" s="20" t="n">
        <v>2.91273848</v>
      </c>
      <c r="I27" s="18" t="s">
        <v>349</v>
      </c>
      <c r="J27" s="20" t="s">
        <v>349</v>
      </c>
      <c r="K27" s="18" t="n">
        <v>0.30342202</v>
      </c>
      <c r="L27" s="20" t="n">
        <v>0.3042617</v>
      </c>
      <c r="M27" s="18" t="n">
        <v>0</v>
      </c>
      <c r="N27" s="20" t="n">
        <v>0</v>
      </c>
      <c r="O27" s="18" t="n">
        <v>0</v>
      </c>
      <c r="P27" s="20" t="n">
        <v>0</v>
      </c>
      <c r="Q27" s="18" t="n">
        <v>4.62920832</v>
      </c>
      <c r="R27" s="20" t="n">
        <v>1.22339957</v>
      </c>
    </row>
    <row r="28" spans="1:18">
      <c r="A28" s="15" t="s">
        <v>370</v>
      </c>
      <c r="B28" s="17" t="n">
        <v>3765</v>
      </c>
      <c r="C28" s="18">
        <f>(3343.0/B28*100)</f>
        <v/>
      </c>
      <c r="D28" s="19" t="n">
        <v>422</v>
      </c>
      <c r="E28" s="18" t="n">
        <v>46.70402996</v>
      </c>
      <c r="F28" s="20" t="n">
        <v>3.06193191</v>
      </c>
      <c r="G28" s="18" t="n">
        <v>51.31484096</v>
      </c>
      <c r="H28" s="20" t="n">
        <v>3.06012543</v>
      </c>
      <c r="I28" s="18" t="s">
        <v>349</v>
      </c>
      <c r="J28" s="20" t="s">
        <v>349</v>
      </c>
      <c r="K28" s="18" t="n">
        <v>0.73213449</v>
      </c>
      <c r="L28" s="20" t="n">
        <v>0.53785835</v>
      </c>
      <c r="M28" s="18" t="n">
        <v>0</v>
      </c>
      <c r="N28" s="20" t="n">
        <v>0</v>
      </c>
      <c r="O28" s="18" t="n">
        <v>0</v>
      </c>
      <c r="P28" s="20" t="n">
        <v>0</v>
      </c>
      <c r="Q28" s="18" t="n">
        <v>1.24899459</v>
      </c>
      <c r="R28" s="20" t="n">
        <v>0.35092206</v>
      </c>
    </row>
    <row r="29" spans="1:18">
      <c r="A29" s="15" t="s">
        <v>371</v>
      </c>
      <c r="B29" s="17" t="n">
        <v>2685</v>
      </c>
      <c r="C29" s="18">
        <f>(2388.0/B29*100)</f>
        <v/>
      </c>
      <c r="D29" s="19" t="n">
        <v>297</v>
      </c>
      <c r="E29" s="18" t="n">
        <v>29.98363565</v>
      </c>
      <c r="F29" s="20" t="n">
        <v>2.80741887</v>
      </c>
      <c r="G29" s="18" t="n">
        <v>68.44460202</v>
      </c>
      <c r="H29" s="20" t="n">
        <v>2.70145927</v>
      </c>
      <c r="I29" s="18" t="s">
        <v>349</v>
      </c>
      <c r="J29" s="20" t="s">
        <v>349</v>
      </c>
      <c r="K29" s="18" t="n">
        <v>0.34441581</v>
      </c>
      <c r="L29" s="20" t="n">
        <v>0.34410205</v>
      </c>
      <c r="M29" s="18" t="n">
        <v>0</v>
      </c>
      <c r="N29" s="20" t="n">
        <v>0</v>
      </c>
      <c r="O29" s="18" t="n">
        <v>0</v>
      </c>
      <c r="P29" s="20" t="n">
        <v>0</v>
      </c>
      <c r="Q29" s="18" t="n">
        <v>1.22734652</v>
      </c>
      <c r="R29" s="20" t="n">
        <v>0.5946462300000001</v>
      </c>
    </row>
    <row r="30" spans="1:18">
      <c r="A30" s="15" t="s">
        <v>372</v>
      </c>
      <c r="B30" s="17" t="n">
        <v>2263</v>
      </c>
      <c r="C30" s="18">
        <f>(1979.0/B30*100)</f>
        <v/>
      </c>
      <c r="D30" s="19" t="n">
        <v>284</v>
      </c>
      <c r="E30" s="18" t="n">
        <v>28.57816542</v>
      </c>
      <c r="F30" s="20" t="n">
        <v>2.43107812</v>
      </c>
      <c r="G30" s="18" t="n">
        <v>69.24229252000001</v>
      </c>
      <c r="H30" s="20" t="n">
        <v>2.37270568</v>
      </c>
      <c r="I30" s="18" t="s">
        <v>349</v>
      </c>
      <c r="J30" s="20" t="s">
        <v>349</v>
      </c>
      <c r="K30" s="18" t="n">
        <v>0</v>
      </c>
      <c r="L30" s="20" t="n">
        <v>0</v>
      </c>
      <c r="M30" s="18" t="n">
        <v>0</v>
      </c>
      <c r="N30" s="20" t="n">
        <v>0</v>
      </c>
      <c r="O30" s="18" t="n">
        <v>0</v>
      </c>
      <c r="P30" s="20" t="n">
        <v>0</v>
      </c>
      <c r="Q30" s="18" t="n">
        <v>2.17954206</v>
      </c>
      <c r="R30" s="20" t="n">
        <v>0.90640828</v>
      </c>
    </row>
    <row r="31" spans="1:18">
      <c r="A31" s="15" t="s">
        <v>373</v>
      </c>
      <c r="B31" s="17" t="n">
        <v>2750</v>
      </c>
      <c r="C31" s="18">
        <f>(2410.0/B31*100)</f>
        <v/>
      </c>
      <c r="D31" s="19" t="n">
        <v>340</v>
      </c>
      <c r="E31" s="18" t="n">
        <v>25.82371671</v>
      </c>
      <c r="F31" s="20" t="n">
        <v>2.24207253</v>
      </c>
      <c r="G31" s="18" t="n">
        <v>72.0707093</v>
      </c>
      <c r="H31" s="20" t="n">
        <v>2.46840011</v>
      </c>
      <c r="I31" s="18" t="s">
        <v>349</v>
      </c>
      <c r="J31" s="20" t="s">
        <v>349</v>
      </c>
      <c r="K31" s="18" t="n">
        <v>0.28105984</v>
      </c>
      <c r="L31" s="20" t="n">
        <v>0.27002835</v>
      </c>
      <c r="M31" s="18" t="n">
        <v>0</v>
      </c>
      <c r="N31" s="20" t="n">
        <v>0</v>
      </c>
      <c r="O31" s="18" t="n">
        <v>0</v>
      </c>
      <c r="P31" s="20" t="n">
        <v>0</v>
      </c>
      <c r="Q31" s="18" t="n">
        <v>1.82451415</v>
      </c>
      <c r="R31" s="20" t="n">
        <v>0.76523155</v>
      </c>
    </row>
    <row r="32" spans="1:18">
      <c r="A32" s="15" t="s">
        <v>374</v>
      </c>
      <c r="B32" s="17" t="n">
        <v>2269</v>
      </c>
      <c r="C32" s="18">
        <f>(1872.0/B32*100)</f>
        <v/>
      </c>
      <c r="D32" s="19" t="n">
        <v>397</v>
      </c>
      <c r="E32" s="18" t="n">
        <v>29.57146885</v>
      </c>
      <c r="F32" s="20" t="n">
        <v>2.4874449</v>
      </c>
      <c r="G32" s="18" t="n">
        <v>68.48659459</v>
      </c>
      <c r="H32" s="20" t="n">
        <v>2.69210739</v>
      </c>
      <c r="I32" s="18" t="s">
        <v>349</v>
      </c>
      <c r="J32" s="20" t="s">
        <v>349</v>
      </c>
      <c r="K32" s="18" t="n">
        <v>0</v>
      </c>
      <c r="L32" s="20" t="n">
        <v>0</v>
      </c>
      <c r="M32" s="18" t="n">
        <v>0</v>
      </c>
      <c r="N32" s="20" t="n">
        <v>0</v>
      </c>
      <c r="O32" s="18" t="n">
        <v>0</v>
      </c>
      <c r="P32" s="20" t="n">
        <v>0</v>
      </c>
      <c r="Q32" s="18" t="n">
        <v>1.94193657</v>
      </c>
      <c r="R32" s="20" t="n">
        <v>0.77452445</v>
      </c>
    </row>
    <row r="33" spans="1:18">
      <c r="A33" s="15" t="s">
        <v>375</v>
      </c>
      <c r="B33" s="17" t="n">
        <v>3674</v>
      </c>
      <c r="C33" s="18">
        <f>(3234.0/B33*100)</f>
        <v/>
      </c>
      <c r="D33" s="19" t="n">
        <v>440</v>
      </c>
      <c r="E33" s="18" t="n">
        <v>30.16742401</v>
      </c>
      <c r="F33" s="20" t="n">
        <v>2.48811781</v>
      </c>
      <c r="G33" s="18" t="n">
        <v>66.97557275</v>
      </c>
      <c r="H33" s="20" t="n">
        <v>2.59000127</v>
      </c>
      <c r="I33" s="18" t="s">
        <v>349</v>
      </c>
      <c r="J33" s="20" t="s">
        <v>349</v>
      </c>
      <c r="K33" s="18" t="n">
        <v>0.4239366</v>
      </c>
      <c r="L33" s="20" t="n">
        <v>0.43359324</v>
      </c>
      <c r="M33" s="18" t="n">
        <v>0</v>
      </c>
      <c r="N33" s="20" t="n">
        <v>0</v>
      </c>
      <c r="O33" s="18" t="n">
        <v>0</v>
      </c>
      <c r="P33" s="20" t="n">
        <v>0</v>
      </c>
      <c r="Q33" s="18" t="n">
        <v>2.43306664</v>
      </c>
      <c r="R33" s="20" t="n">
        <v>0.7329752</v>
      </c>
    </row>
    <row r="34" spans="1:18">
      <c r="A34" s="15" t="s">
        <v>376</v>
      </c>
      <c r="B34" s="17" t="n">
        <v>3315</v>
      </c>
      <c r="C34" s="18">
        <f>(2901.0/B34*100)</f>
        <v/>
      </c>
      <c r="D34" s="19" t="n">
        <v>414</v>
      </c>
      <c r="E34" s="18" t="n">
        <v>27.59606502</v>
      </c>
      <c r="F34" s="20" t="n">
        <v>2.60770453</v>
      </c>
      <c r="G34" s="18" t="n">
        <v>69.36810375</v>
      </c>
      <c r="H34" s="20" t="n">
        <v>2.66961504</v>
      </c>
      <c r="I34" s="18" t="s">
        <v>349</v>
      </c>
      <c r="J34" s="20" t="s">
        <v>349</v>
      </c>
      <c r="K34" s="18" t="n">
        <v>0</v>
      </c>
      <c r="L34" s="20" t="n">
        <v>0</v>
      </c>
      <c r="M34" s="18" t="n">
        <v>0</v>
      </c>
      <c r="N34" s="20" t="n">
        <v>0</v>
      </c>
      <c r="O34" s="18" t="n">
        <v>0</v>
      </c>
      <c r="P34" s="20" t="n">
        <v>0</v>
      </c>
      <c r="Q34" s="18" t="n">
        <v>3.03583122</v>
      </c>
      <c r="R34" s="20" t="n">
        <v>0.74179731</v>
      </c>
    </row>
    <row r="35" spans="1:18">
      <c r="A35" s="15" t="s">
        <v>377</v>
      </c>
      <c r="B35" s="17" t="n">
        <v>3505</v>
      </c>
      <c r="C35" s="18">
        <f>(3061.0/B35*100)</f>
        <v/>
      </c>
      <c r="D35" s="19" t="n">
        <v>444</v>
      </c>
      <c r="E35" s="18" t="n">
        <v>28.76054005</v>
      </c>
      <c r="F35" s="20" t="n">
        <v>2.3270059</v>
      </c>
      <c r="G35" s="18" t="n">
        <v>67.85282373</v>
      </c>
      <c r="H35" s="20" t="n">
        <v>2.59700316</v>
      </c>
      <c r="I35" s="18" t="s">
        <v>349</v>
      </c>
      <c r="J35" s="20" t="s">
        <v>349</v>
      </c>
      <c r="K35" s="18" t="n">
        <v>0.21989663</v>
      </c>
      <c r="L35" s="20" t="n">
        <v>0.15842578</v>
      </c>
      <c r="M35" s="18" t="n">
        <v>0</v>
      </c>
      <c r="N35" s="20" t="n">
        <v>0</v>
      </c>
      <c r="O35" s="18" t="n">
        <v>0</v>
      </c>
      <c r="P35" s="20" t="n">
        <v>0</v>
      </c>
      <c r="Q35" s="18" t="n">
        <v>3.16673959</v>
      </c>
      <c r="R35" s="20" t="n">
        <v>0.88930673</v>
      </c>
    </row>
    <row r="36" spans="1:18">
      <c r="A36" s="15" t="s">
        <v>378</v>
      </c>
      <c r="B36" s="17" t="n">
        <v>3332</v>
      </c>
      <c r="C36" s="18">
        <f>(2919.0/B36*100)</f>
        <v/>
      </c>
      <c r="D36" s="19" t="n">
        <v>413</v>
      </c>
      <c r="E36" s="18" t="n">
        <v>25.2464303</v>
      </c>
      <c r="F36" s="20" t="n">
        <v>2.33916853</v>
      </c>
      <c r="G36" s="18" t="n">
        <v>71.00747796</v>
      </c>
      <c r="H36" s="20" t="n">
        <v>2.49101971</v>
      </c>
      <c r="I36" s="18" t="s">
        <v>349</v>
      </c>
      <c r="J36" s="20" t="s">
        <v>349</v>
      </c>
      <c r="K36" s="18" t="n">
        <v>0.37847708</v>
      </c>
      <c r="L36" s="20" t="n">
        <v>0.25417884</v>
      </c>
      <c r="M36" s="18" t="n">
        <v>0</v>
      </c>
      <c r="N36" s="20" t="n">
        <v>0</v>
      </c>
      <c r="O36" s="18" t="n">
        <v>0</v>
      </c>
      <c r="P36" s="20" t="n">
        <v>0</v>
      </c>
      <c r="Q36" s="18" t="n">
        <v>3.36761466</v>
      </c>
      <c r="R36" s="20" t="n">
        <v>1.0126384</v>
      </c>
    </row>
    <row r="37" spans="1:18">
      <c r="A37" s="15" t="s">
        <v>379</v>
      </c>
      <c r="B37" s="17" t="n">
        <v>2727</v>
      </c>
      <c r="C37" s="18">
        <f>(2400.0/B37*100)</f>
        <v/>
      </c>
      <c r="D37" s="19" t="n">
        <v>327</v>
      </c>
      <c r="E37" s="18" t="n">
        <v>28.15437581</v>
      </c>
      <c r="F37" s="20" t="n">
        <v>2.54287151</v>
      </c>
      <c r="G37" s="18" t="n">
        <v>66.83296554</v>
      </c>
      <c r="H37" s="20" t="n">
        <v>2.51398039</v>
      </c>
      <c r="I37" s="18" t="s">
        <v>349</v>
      </c>
      <c r="J37" s="20" t="s">
        <v>349</v>
      </c>
      <c r="K37" s="18" t="n">
        <v>1.14970195</v>
      </c>
      <c r="L37" s="20" t="n">
        <v>0.57569969</v>
      </c>
      <c r="M37" s="18" t="n">
        <v>0</v>
      </c>
      <c r="N37" s="20" t="n">
        <v>0</v>
      </c>
      <c r="O37" s="18" t="n">
        <v>0</v>
      </c>
      <c r="P37" s="20" t="n">
        <v>0</v>
      </c>
      <c r="Q37" s="18" t="n">
        <v>3.8629567</v>
      </c>
      <c r="R37" s="20" t="n">
        <v>1.26630125</v>
      </c>
    </row>
    <row r="38" spans="1:18">
      <c r="A38" s="15" t="s">
        <v>380</v>
      </c>
      <c r="B38" s="17" t="n">
        <v>3053</v>
      </c>
      <c r="C38" s="18">
        <f>(2586.0/B38*100)</f>
        <v/>
      </c>
      <c r="D38" s="19" t="n">
        <v>467</v>
      </c>
      <c r="E38" s="18" t="n">
        <v>27.85497388</v>
      </c>
      <c r="F38" s="20" t="n">
        <v>2.43105667</v>
      </c>
      <c r="G38" s="18" t="n">
        <v>69.68009171</v>
      </c>
      <c r="H38" s="20" t="n">
        <v>2.42173182</v>
      </c>
      <c r="I38" s="18" t="s">
        <v>349</v>
      </c>
      <c r="J38" s="20" t="s">
        <v>349</v>
      </c>
      <c r="K38" s="18" t="n">
        <v>0</v>
      </c>
      <c r="L38" s="20" t="n">
        <v>0</v>
      </c>
      <c r="M38" s="18" t="n">
        <v>0</v>
      </c>
      <c r="N38" s="20" t="n">
        <v>0</v>
      </c>
      <c r="O38" s="18" t="n">
        <v>0</v>
      </c>
      <c r="P38" s="20" t="n">
        <v>0</v>
      </c>
      <c r="Q38" s="18" t="n">
        <v>2.46493441</v>
      </c>
      <c r="R38" s="20" t="n">
        <v>0.88110637</v>
      </c>
    </row>
    <row r="39" spans="1:18">
      <c r="A39" s="15" t="s">
        <v>381</v>
      </c>
      <c r="B39" s="17" t="n">
        <v>2957</v>
      </c>
      <c r="C39" s="18">
        <f>(2593.0/B39*100)</f>
        <v/>
      </c>
      <c r="D39" s="19" t="n">
        <v>364</v>
      </c>
      <c r="E39" s="18" t="n">
        <v>45.314676</v>
      </c>
      <c r="F39" s="20" t="n">
        <v>3.48052838</v>
      </c>
      <c r="G39" s="18" t="n">
        <v>51.03226711</v>
      </c>
      <c r="H39" s="20" t="n">
        <v>3.40784334</v>
      </c>
      <c r="I39" s="18" t="s">
        <v>349</v>
      </c>
      <c r="J39" s="20" t="s">
        <v>349</v>
      </c>
      <c r="K39" s="18" t="n">
        <v>0.34279545</v>
      </c>
      <c r="L39" s="20" t="n">
        <v>0.34334112</v>
      </c>
      <c r="M39" s="18" t="n">
        <v>0</v>
      </c>
      <c r="N39" s="20" t="n">
        <v>0</v>
      </c>
      <c r="O39" s="18" t="n">
        <v>0</v>
      </c>
      <c r="P39" s="20" t="n">
        <v>0</v>
      </c>
      <c r="Q39" s="18" t="n">
        <v>3.31026144</v>
      </c>
      <c r="R39" s="20" t="n">
        <v>1.15786292</v>
      </c>
    </row>
    <row r="40" spans="1:18">
      <c r="A40" s="15" t="s">
        <v>382</v>
      </c>
      <c r="B40" s="17" t="n">
        <v>7235</v>
      </c>
      <c r="C40" s="18">
        <f>(6332.0/B40*100)</f>
        <v/>
      </c>
      <c r="D40" s="19" t="n">
        <v>903</v>
      </c>
      <c r="E40" s="18" t="n">
        <v>27.88047455</v>
      </c>
      <c r="F40" s="20" t="n">
        <v>2.5199729</v>
      </c>
      <c r="G40" s="18" t="n">
        <v>67.81530384</v>
      </c>
      <c r="H40" s="20" t="n">
        <v>2.63615298</v>
      </c>
      <c r="I40" s="18" t="s">
        <v>349</v>
      </c>
      <c r="J40" s="20" t="s">
        <v>349</v>
      </c>
      <c r="K40" s="18" t="n">
        <v>0</v>
      </c>
      <c r="L40" s="20" t="n">
        <v>0</v>
      </c>
      <c r="M40" s="18" t="n">
        <v>0</v>
      </c>
      <c r="N40" s="20" t="n">
        <v>0</v>
      </c>
      <c r="O40" s="18" t="n">
        <v>0</v>
      </c>
      <c r="P40" s="20" t="n">
        <v>0</v>
      </c>
      <c r="Q40" s="18" t="n">
        <v>4.30422162</v>
      </c>
      <c r="R40" s="20" t="n">
        <v>1.31108717</v>
      </c>
    </row>
    <row r="41" spans="1:18">
      <c r="A41" s="15" t="s">
        <v>383</v>
      </c>
      <c r="B41" s="17" t="n">
        <v>2858</v>
      </c>
      <c r="C41" s="18">
        <f>(2509.0/B41*100)</f>
        <v/>
      </c>
      <c r="D41" s="19" t="n">
        <v>349</v>
      </c>
      <c r="E41" s="18" t="n">
        <v>34.8690537</v>
      </c>
      <c r="F41" s="20" t="n">
        <v>2.667919</v>
      </c>
      <c r="G41" s="18" t="n">
        <v>61.92878734</v>
      </c>
      <c r="H41" s="20" t="n">
        <v>2.76596305</v>
      </c>
      <c r="I41" s="18" t="s">
        <v>349</v>
      </c>
      <c r="J41" s="20" t="s">
        <v>349</v>
      </c>
      <c r="K41" s="18" t="n">
        <v>0.8210285899999999</v>
      </c>
      <c r="L41" s="20" t="n">
        <v>0.8308439</v>
      </c>
      <c r="M41" s="18" t="n">
        <v>0</v>
      </c>
      <c r="N41" s="20" t="n">
        <v>0</v>
      </c>
      <c r="O41" s="18" t="n">
        <v>0</v>
      </c>
      <c r="P41" s="20" t="n">
        <v>0</v>
      </c>
      <c r="Q41" s="18" t="n">
        <v>2.38113036</v>
      </c>
      <c r="R41" s="20" t="n">
        <v>0.76060687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(9798.0/B46*100)</f>
        <v/>
      </c>
      <c r="D46" s="19" t="n">
        <v>1270</v>
      </c>
      <c r="E46" s="18" t="n">
        <v>48.31639315</v>
      </c>
      <c r="F46" s="20" t="n">
        <v>1.90082859</v>
      </c>
      <c r="G46" s="18" t="n">
        <v>43.65729571</v>
      </c>
      <c r="H46" s="20" t="n">
        <v>2.01205108</v>
      </c>
      <c r="I46" s="18" t="s">
        <v>349</v>
      </c>
      <c r="J46" s="20" t="s">
        <v>349</v>
      </c>
      <c r="K46" s="18" t="n">
        <v>0.48633864</v>
      </c>
      <c r="L46" s="20" t="n">
        <v>0.16210852</v>
      </c>
      <c r="M46" s="18" t="n">
        <v>0</v>
      </c>
      <c r="N46" s="20" t="n">
        <v>0</v>
      </c>
      <c r="O46" s="18" t="n">
        <v>0</v>
      </c>
      <c r="P46" s="20" t="n">
        <v>0</v>
      </c>
      <c r="Q46" s="18" t="n">
        <v>7.5399725</v>
      </c>
      <c r="R46" s="20" t="n">
        <v>1.08414835</v>
      </c>
    </row>
    <row r="47" spans="1:18">
      <c r="A47" s="15" t="s">
        <v>389</v>
      </c>
      <c r="B47" s="17" t="n">
        <v>3105</v>
      </c>
      <c r="C47" s="18">
        <f>(2724.0/B47*100)</f>
        <v/>
      </c>
      <c r="D47" s="19" t="n">
        <v>381</v>
      </c>
      <c r="E47" s="18" t="n">
        <v>37.88965681</v>
      </c>
      <c r="F47" s="20" t="n">
        <v>2.8275179</v>
      </c>
      <c r="G47" s="18" t="n">
        <v>55.82392012</v>
      </c>
      <c r="H47" s="20" t="n">
        <v>2.88691773</v>
      </c>
      <c r="I47" s="18" t="s">
        <v>349</v>
      </c>
      <c r="J47" s="20" t="s">
        <v>349</v>
      </c>
      <c r="K47" s="18" t="n">
        <v>0.24229404</v>
      </c>
      <c r="L47" s="20" t="n">
        <v>0.24422676</v>
      </c>
      <c r="M47" s="18" t="n">
        <v>0</v>
      </c>
      <c r="N47" s="20" t="n">
        <v>0</v>
      </c>
      <c r="O47" s="18" t="n">
        <v>0</v>
      </c>
      <c r="P47" s="20" t="n">
        <v>0</v>
      </c>
      <c r="Q47" s="18" t="n">
        <v>6.04412903</v>
      </c>
      <c r="R47" s="20" t="n">
        <v>1.55459675</v>
      </c>
    </row>
    <row r="48" spans="1:18">
      <c r="A48" s="15" t="s">
        <v>390</v>
      </c>
      <c r="B48" s="17" t="n">
        <v>5159</v>
      </c>
      <c r="C48" s="18">
        <f>(4532.0/B48*100)</f>
        <v/>
      </c>
      <c r="D48" s="19" t="n">
        <v>627</v>
      </c>
      <c r="E48" s="18" t="n">
        <v>27.80566703</v>
      </c>
      <c r="F48" s="20" t="n">
        <v>2.1456178</v>
      </c>
      <c r="G48" s="18" t="n">
        <v>70.35948144</v>
      </c>
      <c r="H48" s="20" t="n">
        <v>2.21932391</v>
      </c>
      <c r="I48" s="18" t="s">
        <v>349</v>
      </c>
      <c r="J48" s="20" t="s">
        <v>349</v>
      </c>
      <c r="K48" s="18" t="n">
        <v>0.23456399</v>
      </c>
      <c r="L48" s="20" t="n">
        <v>0.22023506</v>
      </c>
      <c r="M48" s="18" t="n">
        <v>0</v>
      </c>
      <c r="N48" s="20" t="n">
        <v>0</v>
      </c>
      <c r="O48" s="18" t="n">
        <v>0</v>
      </c>
      <c r="P48" s="20" t="n">
        <v>0</v>
      </c>
      <c r="Q48" s="18" t="n">
        <v>1.60028754</v>
      </c>
      <c r="R48" s="20" t="n">
        <v>0.61584598</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(4935.0/B50*100)</f>
        <v/>
      </c>
      <c r="D50" s="19" t="n">
        <v>702</v>
      </c>
      <c r="E50" s="18" t="n">
        <v>48.51329839</v>
      </c>
      <c r="F50" s="20" t="n">
        <v>2.69860627</v>
      </c>
      <c r="G50" s="18" t="n">
        <v>47.57265424</v>
      </c>
      <c r="H50" s="20" t="n">
        <v>2.60183716</v>
      </c>
      <c r="I50" s="18" t="s">
        <v>349</v>
      </c>
      <c r="J50" s="20" t="s">
        <v>349</v>
      </c>
      <c r="K50" s="18" t="n">
        <v>0.31602864</v>
      </c>
      <c r="L50" s="20" t="n">
        <v>0.31982766</v>
      </c>
      <c r="M50" s="18" t="n">
        <v>0</v>
      </c>
      <c r="N50" s="20" t="n">
        <v>0</v>
      </c>
      <c r="O50" s="18" t="n">
        <v>0</v>
      </c>
      <c r="P50" s="20" t="n">
        <v>0</v>
      </c>
      <c r="Q50" s="18" t="n">
        <v>3.59801874</v>
      </c>
      <c r="R50" s="20" t="n">
        <v>0.9528202099999999</v>
      </c>
    </row>
    <row r="51" spans="1:18">
      <c r="A51" s="15" t="s">
        <v>393</v>
      </c>
      <c r="B51" s="17" t="n">
        <v>3372</v>
      </c>
      <c r="C51" s="18">
        <f>(3014.0/B51*100)</f>
        <v/>
      </c>
      <c r="D51" s="19" t="n">
        <v>358</v>
      </c>
      <c r="E51" s="18" t="n">
        <v>44.89615869</v>
      </c>
      <c r="F51" s="20" t="n">
        <v>2.85925407</v>
      </c>
      <c r="G51" s="18" t="n">
        <v>53.16196548</v>
      </c>
      <c r="H51" s="20" t="n">
        <v>2.82820255</v>
      </c>
      <c r="I51" s="18" t="s">
        <v>349</v>
      </c>
      <c r="J51" s="20" t="s">
        <v>349</v>
      </c>
      <c r="K51" s="18" t="n">
        <v>0</v>
      </c>
      <c r="L51" s="20" t="n">
        <v>0</v>
      </c>
      <c r="M51" s="18" t="n">
        <v>0</v>
      </c>
      <c r="N51" s="20" t="n">
        <v>0</v>
      </c>
      <c r="O51" s="18" t="n">
        <v>0</v>
      </c>
      <c r="P51" s="20" t="n">
        <v>0</v>
      </c>
      <c r="Q51" s="18" t="n">
        <v>1.94187583</v>
      </c>
      <c r="R51" s="20" t="n">
        <v>0.76934923</v>
      </c>
    </row>
    <row r="52" spans="1:18">
      <c r="A52" s="15" t="s">
        <v>394</v>
      </c>
      <c r="B52" s="17" t="n">
        <v>2796</v>
      </c>
      <c r="C52" s="18">
        <f>(2459.0/B52*100)</f>
        <v/>
      </c>
      <c r="D52" s="19" t="n">
        <v>337</v>
      </c>
      <c r="E52" s="18" t="n">
        <v>26.96566037</v>
      </c>
      <c r="F52" s="20" t="n">
        <v>2.64769575</v>
      </c>
      <c r="G52" s="18" t="n">
        <v>69.62363046</v>
      </c>
      <c r="H52" s="20" t="n">
        <v>2.64746623</v>
      </c>
      <c r="I52" s="18" t="s">
        <v>349</v>
      </c>
      <c r="J52" s="20" t="s">
        <v>349</v>
      </c>
      <c r="K52" s="18" t="n">
        <v>0</v>
      </c>
      <c r="L52" s="20" t="n">
        <v>0</v>
      </c>
      <c r="M52" s="18" t="n">
        <v>0</v>
      </c>
      <c r="N52" s="20" t="n">
        <v>0</v>
      </c>
      <c r="O52" s="18" t="n">
        <v>0</v>
      </c>
      <c r="P52" s="20" t="n">
        <v>0</v>
      </c>
      <c r="Q52" s="18" t="n">
        <v>3.41070917</v>
      </c>
      <c r="R52" s="20" t="n">
        <v>0.99803149</v>
      </c>
    </row>
    <row r="53" spans="1:18">
      <c r="A53" s="15" t="s">
        <v>395</v>
      </c>
      <c r="B53" s="17" t="n">
        <v>2811</v>
      </c>
      <c r="C53" s="18">
        <f>(2464.0/B53*100)</f>
        <v/>
      </c>
      <c r="D53" s="19" t="n">
        <v>347</v>
      </c>
      <c r="E53" s="18" t="n">
        <v>34.76875685</v>
      </c>
      <c r="F53" s="20" t="n">
        <v>2.67763121</v>
      </c>
      <c r="G53" s="18" t="n">
        <v>59.49848269</v>
      </c>
      <c r="H53" s="20" t="n">
        <v>2.64207691</v>
      </c>
      <c r="I53" s="18" t="s">
        <v>349</v>
      </c>
      <c r="J53" s="20" t="s">
        <v>349</v>
      </c>
      <c r="K53" s="18" t="n">
        <v>0.20743227</v>
      </c>
      <c r="L53" s="20" t="n">
        <v>0.20654667</v>
      </c>
      <c r="M53" s="18" t="n">
        <v>0</v>
      </c>
      <c r="N53" s="20" t="n">
        <v>0</v>
      </c>
      <c r="O53" s="18" t="n">
        <v>0</v>
      </c>
      <c r="P53" s="20" t="n">
        <v>0</v>
      </c>
      <c r="Q53" s="18" t="n">
        <v>5.52532819</v>
      </c>
      <c r="R53" s="20" t="n">
        <v>1.20025105</v>
      </c>
    </row>
    <row r="54" spans="1:18">
      <c r="A54" s="15" t="s">
        <v>396</v>
      </c>
      <c r="B54" s="17" t="n">
        <v>2266</v>
      </c>
      <c r="C54" s="18">
        <f>(1882.0/B54*100)</f>
        <v/>
      </c>
      <c r="D54" s="19" t="n">
        <v>384</v>
      </c>
      <c r="E54" s="18" t="n">
        <v>61.56127705</v>
      </c>
      <c r="F54" s="20" t="n">
        <v>2.63111229</v>
      </c>
      <c r="G54" s="18" t="n">
        <v>21.56674517</v>
      </c>
      <c r="H54" s="20" t="n">
        <v>2.10289428</v>
      </c>
      <c r="I54" s="18" t="s">
        <v>349</v>
      </c>
      <c r="J54" s="20" t="s">
        <v>349</v>
      </c>
      <c r="K54" s="18" t="n">
        <v>3.93386489</v>
      </c>
      <c r="L54" s="20" t="n">
        <v>1.20267033</v>
      </c>
      <c r="M54" s="18" t="n">
        <v>0</v>
      </c>
      <c r="N54" s="20" t="n">
        <v>0</v>
      </c>
      <c r="O54" s="18" t="n">
        <v>0</v>
      </c>
      <c r="P54" s="20" t="n">
        <v>0</v>
      </c>
      <c r="Q54" s="18" t="n">
        <v>12.93811289</v>
      </c>
      <c r="R54" s="20" t="n">
        <v>2.10285168</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(2366.0/B56*100)</f>
        <v/>
      </c>
      <c r="D56" s="19" t="n">
        <v>318</v>
      </c>
      <c r="E56" s="18" t="n">
        <v>21.87278194</v>
      </c>
      <c r="F56" s="20" t="n">
        <v>2.52283464</v>
      </c>
      <c r="G56" s="18" t="n">
        <v>78.12721806</v>
      </c>
      <c r="H56" s="20" t="n">
        <v>2.52283464</v>
      </c>
      <c r="I56" s="18" t="s">
        <v>349</v>
      </c>
      <c r="J56" s="20" t="s">
        <v>349</v>
      </c>
      <c r="K56" s="18" t="n">
        <v>0</v>
      </c>
      <c r="L56" s="20" t="n">
        <v>0</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(2928.0/B61*100)</f>
        <v/>
      </c>
      <c r="D61" s="19" t="n">
        <v>396</v>
      </c>
      <c r="E61" s="18" t="n">
        <v>32.61870614</v>
      </c>
      <c r="F61" s="20" t="n">
        <v>2.50642816</v>
      </c>
      <c r="G61" s="18" t="n">
        <v>63.80268077</v>
      </c>
      <c r="H61" s="20" t="n">
        <v>2.46552102</v>
      </c>
      <c r="I61" s="18" t="s">
        <v>349</v>
      </c>
      <c r="J61" s="20" t="s">
        <v>349</v>
      </c>
      <c r="K61" s="18" t="n">
        <v>0</v>
      </c>
      <c r="L61" s="20" t="n">
        <v>0</v>
      </c>
      <c r="M61" s="18" t="n">
        <v>0</v>
      </c>
      <c r="N61" s="20" t="n">
        <v>0</v>
      </c>
      <c r="O61" s="18" t="n">
        <v>0</v>
      </c>
      <c r="P61" s="20" t="n">
        <v>0</v>
      </c>
      <c r="Q61" s="18" t="n">
        <v>3.57861309</v>
      </c>
      <c r="R61" s="20" t="n">
        <v>1.02763698</v>
      </c>
    </row>
    <row r="62" spans="1:18">
      <c r="A62" s="15" t="s">
        <v>404</v>
      </c>
      <c r="B62" s="17" t="n">
        <v>2246</v>
      </c>
      <c r="C62" s="18">
        <f>(2001.0/B62*100)</f>
        <v/>
      </c>
      <c r="D62" s="19" t="n">
        <v>245</v>
      </c>
      <c r="E62" s="18" t="n">
        <v>26.96824876</v>
      </c>
      <c r="F62" s="20" t="n">
        <v>3.04411294</v>
      </c>
      <c r="G62" s="18" t="n">
        <v>72.61685198000001</v>
      </c>
      <c r="H62" s="20" t="n">
        <v>3.07335906</v>
      </c>
      <c r="I62" s="18" t="s">
        <v>349</v>
      </c>
      <c r="J62" s="20" t="s">
        <v>349</v>
      </c>
      <c r="K62" s="18" t="n">
        <v>0</v>
      </c>
      <c r="L62" s="20" t="n">
        <v>0</v>
      </c>
      <c r="M62" s="18" t="n">
        <v>0</v>
      </c>
      <c r="N62" s="20" t="n">
        <v>0</v>
      </c>
      <c r="O62" s="18" t="n">
        <v>0</v>
      </c>
      <c r="P62" s="20" t="n">
        <v>0</v>
      </c>
      <c r="Q62" s="18" t="n">
        <v>0.41489925</v>
      </c>
      <c r="R62" s="20" t="n">
        <v>0.41520249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(2540.0/B66*100)</f>
        <v/>
      </c>
      <c r="D66" s="19" t="n">
        <v>354</v>
      </c>
      <c r="E66" s="18" t="n">
        <v>40.07121683</v>
      </c>
      <c r="F66" s="20" t="n">
        <v>2.53539486</v>
      </c>
      <c r="G66" s="18" t="n">
        <v>47.84053781</v>
      </c>
      <c r="H66" s="20" t="n">
        <v>2.39125572</v>
      </c>
      <c r="I66" s="18" t="s">
        <v>349</v>
      </c>
      <c r="J66" s="20" t="s">
        <v>349</v>
      </c>
      <c r="K66" s="18" t="n">
        <v>0.2764483</v>
      </c>
      <c r="L66" s="20" t="n">
        <v>0.27711714</v>
      </c>
      <c r="M66" s="18" t="n">
        <v>0</v>
      </c>
      <c r="N66" s="20" t="n">
        <v>0</v>
      </c>
      <c r="O66" s="18" t="n">
        <v>0</v>
      </c>
      <c r="P66" s="20" t="n">
        <v>0</v>
      </c>
      <c r="Q66" s="18" t="n">
        <v>11.81179707</v>
      </c>
      <c r="R66" s="20" t="n">
        <v>1.71952442</v>
      </c>
    </row>
    <row r="67" spans="1:18">
      <c r="A67" s="15" t="s">
        <v>409</v>
      </c>
      <c r="B67" s="17" t="n">
        <v>3511</v>
      </c>
      <c r="C67" s="18">
        <f>(3105.0/B67*100)</f>
        <v/>
      </c>
      <c r="D67" s="19" t="n">
        <v>406</v>
      </c>
      <c r="E67" s="18" t="n">
        <v>49.85476316</v>
      </c>
      <c r="F67" s="20" t="n">
        <v>2.6884121</v>
      </c>
      <c r="G67" s="18" t="n">
        <v>42.6594366</v>
      </c>
      <c r="H67" s="20" t="n">
        <v>2.56417867</v>
      </c>
      <c r="I67" s="18" t="s">
        <v>349</v>
      </c>
      <c r="J67" s="20" t="s">
        <v>349</v>
      </c>
      <c r="K67" s="18" t="n">
        <v>0</v>
      </c>
      <c r="L67" s="20" t="n">
        <v>0</v>
      </c>
      <c r="M67" s="18" t="n">
        <v>0</v>
      </c>
      <c r="N67" s="20" t="n">
        <v>0</v>
      </c>
      <c r="O67" s="18" t="n">
        <v>0</v>
      </c>
      <c r="P67" s="20" t="n">
        <v>0</v>
      </c>
      <c r="Q67" s="18" t="n">
        <v>7.48580024</v>
      </c>
      <c r="R67" s="20" t="n">
        <v>1.45242901</v>
      </c>
    </row>
    <row r="68" spans="1:18">
      <c r="A68" s="15" t="s">
        <v>410</v>
      </c>
      <c r="B68" s="17" t="n">
        <v>6049</v>
      </c>
      <c r="C68" s="18">
        <f>(5065.0/B68*100)</f>
        <v/>
      </c>
      <c r="D68" s="19" t="n">
        <v>984</v>
      </c>
      <c r="E68" s="18" t="n">
        <v>54.53079679</v>
      </c>
      <c r="F68" s="20" t="n">
        <v>1.62319376</v>
      </c>
      <c r="G68" s="18" t="n">
        <v>34.71832575</v>
      </c>
      <c r="H68" s="20" t="n">
        <v>1.5900511</v>
      </c>
      <c r="I68" s="18" t="s">
        <v>349</v>
      </c>
      <c r="J68" s="20" t="s">
        <v>349</v>
      </c>
      <c r="K68" s="18" t="n">
        <v>1.43411864</v>
      </c>
      <c r="L68" s="20" t="n">
        <v>0.33668821</v>
      </c>
      <c r="M68" s="18" t="n">
        <v>0</v>
      </c>
      <c r="N68" s="20" t="n">
        <v>0</v>
      </c>
      <c r="O68" s="18" t="n">
        <v>0</v>
      </c>
      <c r="P68" s="20" t="n">
        <v>0</v>
      </c>
      <c r="Q68" s="18" t="n">
        <v>9.31675882</v>
      </c>
      <c r="R68" s="20" t="n">
        <v>0.88059305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(2601.0/B70*100)</f>
        <v/>
      </c>
      <c r="D70" s="19" t="n">
        <v>328</v>
      </c>
      <c r="E70" s="18" t="n">
        <v>31.41700937</v>
      </c>
      <c r="F70" s="20" t="n">
        <v>3.12030872</v>
      </c>
      <c r="G70" s="18" t="n">
        <v>66.43004467</v>
      </c>
      <c r="H70" s="20" t="n">
        <v>3.49248949</v>
      </c>
      <c r="I70" s="18" t="s">
        <v>349</v>
      </c>
      <c r="J70" s="20" t="s">
        <v>349</v>
      </c>
      <c r="K70" s="18" t="n">
        <v>0.15775439</v>
      </c>
      <c r="L70" s="20" t="n">
        <v>0.11258688</v>
      </c>
      <c r="M70" s="18" t="n">
        <v>0</v>
      </c>
      <c r="N70" s="20" t="n">
        <v>0</v>
      </c>
      <c r="O70" s="18" t="n">
        <v>0</v>
      </c>
      <c r="P70" s="20" t="n">
        <v>0</v>
      </c>
      <c r="Q70" s="18" t="n">
        <v>1.99519157</v>
      </c>
      <c r="R70" s="20" t="n">
        <v>0.79742053</v>
      </c>
    </row>
    <row r="71" spans="1:18">
      <c r="A71" s="15" t="s">
        <v>413</v>
      </c>
      <c r="B71" s="17" t="n">
        <v>3142</v>
      </c>
      <c r="C71" s="18">
        <f>(2748.0/B71*100)</f>
        <v/>
      </c>
      <c r="D71" s="19" t="n">
        <v>394</v>
      </c>
      <c r="E71" s="18" t="n">
        <v>18.3549015</v>
      </c>
      <c r="F71" s="20" t="n">
        <v>1.65450982</v>
      </c>
      <c r="G71" s="18" t="n">
        <v>79.94397717</v>
      </c>
      <c r="H71" s="20" t="n">
        <v>1.80212352</v>
      </c>
      <c r="I71" s="18" t="s">
        <v>349</v>
      </c>
      <c r="J71" s="20" t="s">
        <v>349</v>
      </c>
      <c r="K71" s="18" t="n">
        <v>0.20376283</v>
      </c>
      <c r="L71" s="20" t="n">
        <v>0.20392147</v>
      </c>
      <c r="M71" s="18" t="n">
        <v>0</v>
      </c>
      <c r="N71" s="20" t="n">
        <v>0</v>
      </c>
      <c r="O71" s="18" t="n">
        <v>0</v>
      </c>
      <c r="P71" s="20" t="n">
        <v>0</v>
      </c>
      <c r="Q71" s="18" t="n">
        <v>1.49735849</v>
      </c>
      <c r="R71" s="20" t="n">
        <v>0.51751482</v>
      </c>
    </row>
    <row r="72" spans="1:18">
      <c r="A72" s="15" t="s">
        <v>414</v>
      </c>
      <c r="B72" s="17" t="n">
        <v>3889</v>
      </c>
      <c r="C72" s="18">
        <f>(3402.0/B72*100)</f>
        <v/>
      </c>
      <c r="D72" s="19" t="n">
        <v>487</v>
      </c>
      <c r="E72" s="18" t="n">
        <v>23.13608165</v>
      </c>
      <c r="F72" s="20" t="n">
        <v>2.06678947</v>
      </c>
      <c r="G72" s="18" t="n">
        <v>74.94881349000001</v>
      </c>
      <c r="H72" s="20" t="n">
        <v>2.07887211</v>
      </c>
      <c r="I72" s="18" t="s">
        <v>349</v>
      </c>
      <c r="J72" s="20" t="s">
        <v>349</v>
      </c>
      <c r="K72" s="18" t="n">
        <v>0.27703289</v>
      </c>
      <c r="L72" s="20" t="n">
        <v>0.27713718</v>
      </c>
      <c r="M72" s="18" t="n">
        <v>0</v>
      </c>
      <c r="N72" s="20" t="n">
        <v>0</v>
      </c>
      <c r="O72" s="18" t="n">
        <v>0</v>
      </c>
      <c r="P72" s="20" t="n">
        <v>0</v>
      </c>
      <c r="Q72" s="18" t="n">
        <v>1.63807197</v>
      </c>
      <c r="R72" s="20" t="n">
        <v>0.56283101</v>
      </c>
    </row>
    <row r="73" spans="1:18">
      <c r="A73" s="15" t="s">
        <v>415</v>
      </c>
      <c r="B73" s="17" t="n">
        <v>3597</v>
      </c>
      <c r="C73" s="18">
        <f>(3145.0/B73*100)</f>
        <v/>
      </c>
      <c r="D73" s="19" t="n">
        <v>452</v>
      </c>
      <c r="E73" s="18" t="n">
        <v>48.72577716</v>
      </c>
      <c r="F73" s="20" t="n">
        <v>2.70441345</v>
      </c>
      <c r="G73" s="18" t="n">
        <v>48.99597582</v>
      </c>
      <c r="H73" s="20" t="n">
        <v>2.46458801</v>
      </c>
      <c r="I73" s="18" t="s">
        <v>349</v>
      </c>
      <c r="J73" s="20" t="s">
        <v>349</v>
      </c>
      <c r="K73" s="18" t="n">
        <v>0</v>
      </c>
      <c r="L73" s="20" t="n">
        <v>0</v>
      </c>
      <c r="M73" s="18" t="n">
        <v>0</v>
      </c>
      <c r="N73" s="20" t="n">
        <v>0</v>
      </c>
      <c r="O73" s="18" t="n">
        <v>0</v>
      </c>
      <c r="P73" s="20" t="n">
        <v>0</v>
      </c>
      <c r="Q73" s="18" t="n">
        <v>2.27824702</v>
      </c>
      <c r="R73" s="20" t="n">
        <v>0.7991854</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(2124.0/B75*100)</f>
        <v/>
      </c>
      <c r="D75" s="19" t="n">
        <v>282</v>
      </c>
      <c r="E75" s="18" t="n">
        <v>56.6225633</v>
      </c>
      <c r="F75" s="20" t="n">
        <v>3.47220996</v>
      </c>
      <c r="G75" s="18" t="n">
        <v>37.3308923</v>
      </c>
      <c r="H75" s="20" t="n">
        <v>3.27266797</v>
      </c>
      <c r="I75" s="18" t="s">
        <v>349</v>
      </c>
      <c r="J75" s="20" t="s">
        <v>349</v>
      </c>
      <c r="K75" s="18" t="n">
        <v>0.60155477</v>
      </c>
      <c r="L75" s="20" t="n">
        <v>0.40302375</v>
      </c>
      <c r="M75" s="18" t="n">
        <v>0</v>
      </c>
      <c r="N75" s="20" t="n">
        <v>0</v>
      </c>
      <c r="O75" s="18" t="n">
        <v>0</v>
      </c>
      <c r="P75" s="20" t="n">
        <v>0</v>
      </c>
      <c r="Q75" s="18" t="n">
        <v>5.44498964</v>
      </c>
      <c r="R75" s="20" t="n">
        <v>1.25651345</v>
      </c>
    </row>
    <row r="76" spans="1:18">
      <c r="A76" s="15" t="s">
        <v>418</v>
      </c>
      <c r="B76" s="17" t="n">
        <v>7052</v>
      </c>
      <c r="C76" s="18">
        <f>(6209.0/B76*100)</f>
        <v/>
      </c>
      <c r="D76" s="19" t="n">
        <v>843</v>
      </c>
      <c r="E76" s="18" t="n">
        <v>48.38014482</v>
      </c>
      <c r="F76" s="20" t="n">
        <v>2.54417515</v>
      </c>
      <c r="G76" s="18" t="n">
        <v>45.05185173</v>
      </c>
      <c r="H76" s="20" t="n">
        <v>2.55125313</v>
      </c>
      <c r="I76" s="18" t="s">
        <v>349</v>
      </c>
      <c r="J76" s="20" t="s">
        <v>349</v>
      </c>
      <c r="K76" s="18" t="n">
        <v>1.17741378</v>
      </c>
      <c r="L76" s="20" t="n">
        <v>0.38467504</v>
      </c>
      <c r="M76" s="18" t="n">
        <v>0</v>
      </c>
      <c r="N76" s="20" t="n">
        <v>0</v>
      </c>
      <c r="O76" s="18" t="n">
        <v>0</v>
      </c>
      <c r="P76" s="20" t="n">
        <v>0</v>
      </c>
      <c r="Q76" s="18" t="n">
        <v>5.39058966</v>
      </c>
      <c r="R76" s="20" t="n">
        <v>0.98596847</v>
      </c>
    </row>
    <row r="77" spans="1:18">
      <c r="A77" s="15" t="s">
        <v>419</v>
      </c>
      <c r="B77" s="17" t="n">
        <v>2908</v>
      </c>
      <c r="C77" s="18">
        <f>(2536.0/B77*100)</f>
        <v/>
      </c>
      <c r="D77" s="19" t="n">
        <v>372</v>
      </c>
      <c r="E77" s="18" t="n">
        <v>41.24399899</v>
      </c>
      <c r="F77" s="20" t="n">
        <v>2.70032402</v>
      </c>
      <c r="G77" s="18" t="n">
        <v>51.40596235</v>
      </c>
      <c r="H77" s="20" t="n">
        <v>2.7267284</v>
      </c>
      <c r="I77" s="18" t="s">
        <v>349</v>
      </c>
      <c r="J77" s="20" t="s">
        <v>349</v>
      </c>
      <c r="K77" s="18" t="n">
        <v>0</v>
      </c>
      <c r="L77" s="20" t="n">
        <v>0</v>
      </c>
      <c r="M77" s="18" t="n">
        <v>0</v>
      </c>
      <c r="N77" s="20" t="n">
        <v>0</v>
      </c>
      <c r="O77" s="18" t="n">
        <v>0</v>
      </c>
      <c r="P77" s="20" t="n">
        <v>0</v>
      </c>
      <c r="Q77" s="18" t="n">
        <v>7.35003866</v>
      </c>
      <c r="R77" s="20" t="n">
        <v>1.22554361</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(3648.0/B81*100)</f>
        <v/>
      </c>
      <c r="D81" s="19" t="n">
        <v>515</v>
      </c>
      <c r="E81" s="18" t="n">
        <v>45.70245881</v>
      </c>
      <c r="F81" s="20" t="n">
        <v>2.65671681</v>
      </c>
      <c r="G81" s="18" t="n">
        <v>52.71676649</v>
      </c>
      <c r="H81" s="20" t="n">
        <v>2.65435604</v>
      </c>
      <c r="I81" s="18" t="s">
        <v>349</v>
      </c>
      <c r="J81" s="20" t="s">
        <v>349</v>
      </c>
      <c r="K81" s="18" t="n">
        <v>0.01931662</v>
      </c>
      <c r="L81" s="20" t="n">
        <v>0.65511173</v>
      </c>
      <c r="M81" s="18" t="n">
        <v>0</v>
      </c>
      <c r="N81" s="20" t="n">
        <v>0</v>
      </c>
      <c r="O81" s="18" t="n">
        <v>0</v>
      </c>
      <c r="P81" s="20" t="n">
        <v>0</v>
      </c>
      <c r="Q81" s="18" t="n">
        <v>1.56145809</v>
      </c>
      <c r="R81" s="20" t="n">
        <v>0.70842281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(6480.0/B7*100)</f>
        <v/>
      </c>
      <c r="D7" s="19" t="n">
        <v>887</v>
      </c>
      <c r="E7" s="18" t="n">
        <v>11.95473032</v>
      </c>
      <c r="F7" s="20" t="n">
        <v>1.27240749</v>
      </c>
      <c r="G7" s="18" t="n">
        <v>87.36578272</v>
      </c>
      <c r="H7" s="20" t="n">
        <v>1.30552106</v>
      </c>
      <c r="I7" s="18" t="s">
        <v>349</v>
      </c>
      <c r="J7" s="20" t="s">
        <v>349</v>
      </c>
      <c r="K7" s="18" t="n">
        <v>0.21910123</v>
      </c>
      <c r="L7" s="20" t="n">
        <v>0.17784877</v>
      </c>
      <c r="M7" s="18" t="n">
        <v>0</v>
      </c>
      <c r="N7" s="20" t="n">
        <v>0</v>
      </c>
      <c r="O7" s="18" t="n">
        <v>0</v>
      </c>
      <c r="P7" s="20" t="n">
        <v>0</v>
      </c>
      <c r="Q7" s="18" t="n">
        <v>0.46038573</v>
      </c>
      <c r="R7" s="20" t="n">
        <v>0.25015242</v>
      </c>
    </row>
    <row r="8" spans="1:18">
      <c r="A8" s="15" t="s">
        <v>350</v>
      </c>
      <c r="B8" s="17" t="n">
        <v>3564</v>
      </c>
      <c r="C8" s="18">
        <f>(3127.0/B8*100)</f>
        <v/>
      </c>
      <c r="D8" s="19" t="n">
        <v>437</v>
      </c>
      <c r="E8" s="18" t="n">
        <v>25.42312983</v>
      </c>
      <c r="F8" s="20" t="n">
        <v>2.46596232</v>
      </c>
      <c r="G8" s="18" t="n">
        <v>74.57687017000001</v>
      </c>
      <c r="H8" s="20" t="n">
        <v>2.46596232</v>
      </c>
      <c r="I8" s="18" t="s">
        <v>349</v>
      </c>
      <c r="J8" s="20" t="s">
        <v>349</v>
      </c>
      <c r="K8" s="18" t="n">
        <v>0</v>
      </c>
      <c r="L8" s="20" t="n">
        <v>0</v>
      </c>
      <c r="M8" s="18" t="n">
        <v>0</v>
      </c>
      <c r="N8" s="20" t="n">
        <v>0</v>
      </c>
      <c r="O8" s="18" t="n">
        <v>0</v>
      </c>
      <c r="P8" s="20" t="n">
        <v>0</v>
      </c>
      <c r="Q8" s="18" t="n">
        <v>0</v>
      </c>
      <c r="R8" s="20" t="n">
        <v>0</v>
      </c>
    </row>
    <row r="9" spans="1:18">
      <c r="A9" s="15" t="s">
        <v>351</v>
      </c>
      <c r="B9" s="17" t="n">
        <v>4899</v>
      </c>
      <c r="C9" s="18">
        <f>(4298.0/B9*100)</f>
        <v/>
      </c>
      <c r="D9" s="19" t="n">
        <v>601</v>
      </c>
      <c r="E9" s="18" t="n">
        <v>19.77437416</v>
      </c>
      <c r="F9" s="20" t="n">
        <v>1.68220444</v>
      </c>
      <c r="G9" s="18" t="n">
        <v>79.17952574</v>
      </c>
      <c r="H9" s="20" t="n">
        <v>1.84785849</v>
      </c>
      <c r="I9" s="18" t="s">
        <v>349</v>
      </c>
      <c r="J9" s="20" t="s">
        <v>349</v>
      </c>
      <c r="K9" s="18" t="n">
        <v>0.56975782</v>
      </c>
      <c r="L9" s="20" t="n">
        <v>0.4338429</v>
      </c>
      <c r="M9" s="18" t="n">
        <v>0</v>
      </c>
      <c r="N9" s="20" t="n">
        <v>0</v>
      </c>
      <c r="O9" s="18" t="n">
        <v>0</v>
      </c>
      <c r="P9" s="20" t="n">
        <v>0</v>
      </c>
      <c r="Q9" s="18" t="n">
        <v>0.47634229</v>
      </c>
      <c r="R9" s="20" t="n">
        <v>0.27474876</v>
      </c>
    </row>
    <row r="10" spans="1:18">
      <c r="A10" s="15" t="s">
        <v>352</v>
      </c>
      <c r="B10" s="17" t="n">
        <v>10036</v>
      </c>
      <c r="C10" s="18">
        <f>(8788.0/B10*100)</f>
        <v/>
      </c>
      <c r="D10" s="19" t="n">
        <v>1248</v>
      </c>
      <c r="E10" s="18" t="n">
        <v>17.3099282</v>
      </c>
      <c r="F10" s="20" t="n">
        <v>1.39866305</v>
      </c>
      <c r="G10" s="18" t="n">
        <v>82.14385175</v>
      </c>
      <c r="H10" s="20" t="n">
        <v>1.45056966</v>
      </c>
      <c r="I10" s="18" t="s">
        <v>349</v>
      </c>
      <c r="J10" s="20" t="s">
        <v>349</v>
      </c>
      <c r="K10" s="18" t="n">
        <v>0.3290475</v>
      </c>
      <c r="L10" s="20" t="n">
        <v>0.21887321</v>
      </c>
      <c r="M10" s="18" t="n">
        <v>0</v>
      </c>
      <c r="N10" s="20" t="n">
        <v>0</v>
      </c>
      <c r="O10" s="18" t="n">
        <v>0</v>
      </c>
      <c r="P10" s="20" t="n">
        <v>0</v>
      </c>
      <c r="Q10" s="18" t="n">
        <v>0.21717255</v>
      </c>
      <c r="R10" s="20" t="n">
        <v>0.10623471</v>
      </c>
    </row>
    <row r="11" spans="1:18">
      <c r="A11" s="15" t="s">
        <v>353</v>
      </c>
      <c r="B11" s="17" t="n">
        <v>3553</v>
      </c>
      <c r="C11" s="18">
        <f>(3123.0/B11*100)</f>
        <v/>
      </c>
      <c r="D11" s="19" t="n">
        <v>430</v>
      </c>
      <c r="E11" s="18" t="n">
        <v>20.25428443</v>
      </c>
      <c r="F11" s="20" t="n">
        <v>2.00618125</v>
      </c>
      <c r="G11" s="18" t="n">
        <v>79.22141212</v>
      </c>
      <c r="H11" s="20" t="n">
        <v>2.00026983</v>
      </c>
      <c r="I11" s="18" t="s">
        <v>349</v>
      </c>
      <c r="J11" s="20" t="s">
        <v>349</v>
      </c>
      <c r="K11" s="18" t="n">
        <v>0.27522922</v>
      </c>
      <c r="L11" s="20" t="n">
        <v>0.23876866</v>
      </c>
      <c r="M11" s="18" t="n">
        <v>0</v>
      </c>
      <c r="N11" s="20" t="n">
        <v>0</v>
      </c>
      <c r="O11" s="18" t="n">
        <v>0</v>
      </c>
      <c r="P11" s="20" t="n">
        <v>0</v>
      </c>
      <c r="Q11" s="18" t="n">
        <v>0.24907423</v>
      </c>
      <c r="R11" s="20" t="n">
        <v>0.18077048</v>
      </c>
    </row>
    <row r="12" spans="1:18">
      <c r="A12" s="15" t="s">
        <v>354</v>
      </c>
      <c r="B12" s="17" t="n">
        <v>3472</v>
      </c>
      <c r="C12" s="18">
        <f>(3072.0/B12*100)</f>
        <v/>
      </c>
      <c r="D12" s="19" t="n">
        <v>400</v>
      </c>
      <c r="E12" s="18" t="n">
        <v>27.79417131</v>
      </c>
      <c r="F12" s="20" t="n">
        <v>2.55511022</v>
      </c>
      <c r="G12" s="18" t="n">
        <v>71.94577869</v>
      </c>
      <c r="H12" s="20" t="n">
        <v>2.50941983</v>
      </c>
      <c r="I12" s="18" t="s">
        <v>349</v>
      </c>
      <c r="J12" s="20" t="s">
        <v>349</v>
      </c>
      <c r="K12" s="18" t="n">
        <v>0</v>
      </c>
      <c r="L12" s="20" t="n">
        <v>0</v>
      </c>
      <c r="M12" s="18" t="n">
        <v>0</v>
      </c>
      <c r="N12" s="20" t="n">
        <v>0</v>
      </c>
      <c r="O12" s="18" t="n">
        <v>0</v>
      </c>
      <c r="P12" s="20" t="n">
        <v>0</v>
      </c>
      <c r="Q12" s="18" t="n">
        <v>0.26005001</v>
      </c>
      <c r="R12" s="20" t="n">
        <v>0.37019247</v>
      </c>
    </row>
    <row r="13" spans="1:18">
      <c r="A13" s="15" t="s">
        <v>355</v>
      </c>
      <c r="B13" s="17" t="n">
        <v>3559</v>
      </c>
      <c r="C13" s="18">
        <f>(3158.0/B13*100)</f>
        <v/>
      </c>
      <c r="D13" s="19" t="n">
        <v>401</v>
      </c>
      <c r="E13" s="18" t="n">
        <v>12.1360834</v>
      </c>
      <c r="F13" s="20" t="n">
        <v>1.58446191</v>
      </c>
      <c r="G13" s="18" t="n">
        <v>86.44823633999999</v>
      </c>
      <c r="H13" s="20" t="n">
        <v>1.81245269</v>
      </c>
      <c r="I13" s="18" t="s">
        <v>349</v>
      </c>
      <c r="J13" s="20" t="s">
        <v>349</v>
      </c>
      <c r="K13" s="18" t="n">
        <v>0.53484378</v>
      </c>
      <c r="L13" s="20" t="n">
        <v>0.37463942</v>
      </c>
      <c r="M13" s="18" t="n">
        <v>0</v>
      </c>
      <c r="N13" s="20" t="n">
        <v>0</v>
      </c>
      <c r="O13" s="18" t="n">
        <v>0</v>
      </c>
      <c r="P13" s="20" t="n">
        <v>0</v>
      </c>
      <c r="Q13" s="18" t="n">
        <v>0.88083648</v>
      </c>
      <c r="R13" s="20" t="n">
        <v>0.63448408</v>
      </c>
    </row>
    <row r="14" spans="1:18">
      <c r="A14" s="15" t="s">
        <v>356</v>
      </c>
      <c r="B14" s="17" t="n">
        <v>2799</v>
      </c>
      <c r="C14" s="18">
        <f>(2453.0/B14*100)</f>
        <v/>
      </c>
      <c r="D14" s="19" t="n">
        <v>346</v>
      </c>
      <c r="E14" s="18" t="n">
        <v>17.32630252</v>
      </c>
      <c r="F14" s="20" t="n">
        <v>2.31364942</v>
      </c>
      <c r="G14" s="18" t="n">
        <v>82.44200123</v>
      </c>
      <c r="H14" s="20" t="n">
        <v>2.257457</v>
      </c>
      <c r="I14" s="18" t="s">
        <v>349</v>
      </c>
      <c r="J14" s="20" t="s">
        <v>349</v>
      </c>
      <c r="K14" s="18" t="n">
        <v>0.23169625</v>
      </c>
      <c r="L14" s="20" t="n">
        <v>0.23243413</v>
      </c>
      <c r="M14" s="18" t="n">
        <v>0</v>
      </c>
      <c r="N14" s="20" t="n">
        <v>0</v>
      </c>
      <c r="O14" s="18" t="n">
        <v>0</v>
      </c>
      <c r="P14" s="20" t="n">
        <v>0</v>
      </c>
      <c r="Q14" s="18" t="n">
        <v>0</v>
      </c>
      <c r="R14" s="20" t="n">
        <v>0</v>
      </c>
    </row>
    <row r="15" spans="1:18">
      <c r="A15" s="15" t="s">
        <v>357</v>
      </c>
      <c r="B15" s="17" t="n">
        <v>3019</v>
      </c>
      <c r="C15" s="18">
        <f>(2644.0/B15*100)</f>
        <v/>
      </c>
      <c r="D15" s="19" t="n">
        <v>375</v>
      </c>
      <c r="E15" s="18" t="n">
        <v>14.57589113</v>
      </c>
      <c r="F15" s="20" t="n">
        <v>2.0967124</v>
      </c>
      <c r="G15" s="18" t="n">
        <v>85.42410887</v>
      </c>
      <c r="H15" s="20" t="n">
        <v>2.0967124</v>
      </c>
      <c r="I15" s="18" t="s">
        <v>349</v>
      </c>
      <c r="J15" s="20" t="s">
        <v>349</v>
      </c>
      <c r="K15" s="18" t="n">
        <v>0</v>
      </c>
      <c r="L15" s="20" t="n">
        <v>0</v>
      </c>
      <c r="M15" s="18" t="n">
        <v>0</v>
      </c>
      <c r="N15" s="20" t="n">
        <v>0</v>
      </c>
      <c r="O15" s="18" t="n">
        <v>0</v>
      </c>
      <c r="P15" s="20" t="n">
        <v>0</v>
      </c>
      <c r="Q15" s="18" t="n">
        <v>0</v>
      </c>
      <c r="R15" s="20" t="n">
        <v>0</v>
      </c>
    </row>
    <row r="16" spans="1:18">
      <c r="A16" s="15" t="s">
        <v>358</v>
      </c>
      <c r="B16" s="17" t="n">
        <v>2997</v>
      </c>
      <c r="C16" s="18">
        <f>(2619.0/B16*100)</f>
        <v/>
      </c>
      <c r="D16" s="19" t="n">
        <v>378</v>
      </c>
      <c r="E16" s="18" t="n">
        <v>18.28547125</v>
      </c>
      <c r="F16" s="20" t="n">
        <v>2.10951819</v>
      </c>
      <c r="G16" s="18" t="n">
        <v>80.88142755</v>
      </c>
      <c r="H16" s="20" t="n">
        <v>2.2596966</v>
      </c>
      <c r="I16" s="18" t="s">
        <v>349</v>
      </c>
      <c r="J16" s="20" t="s">
        <v>349</v>
      </c>
      <c r="K16" s="18" t="n">
        <v>0.26523683</v>
      </c>
      <c r="L16" s="20" t="n">
        <v>0.2169782</v>
      </c>
      <c r="M16" s="18" t="n">
        <v>0</v>
      </c>
      <c r="N16" s="20" t="n">
        <v>0</v>
      </c>
      <c r="O16" s="18" t="n">
        <v>0</v>
      </c>
      <c r="P16" s="20" t="n">
        <v>0</v>
      </c>
      <c r="Q16" s="18" t="n">
        <v>0.56786436</v>
      </c>
      <c r="R16" s="20" t="n">
        <v>0.40592757</v>
      </c>
    </row>
    <row r="17" spans="1:18">
      <c r="A17" s="15" t="s">
        <v>359</v>
      </c>
      <c r="B17" s="17" t="n">
        <v>3307</v>
      </c>
      <c r="C17" s="18">
        <f>(2916.0/B17*100)</f>
        <v/>
      </c>
      <c r="D17" s="19" t="n">
        <v>391</v>
      </c>
      <c r="E17" s="18" t="n">
        <v>13.5971126</v>
      </c>
      <c r="F17" s="20" t="n">
        <v>1.64050811</v>
      </c>
      <c r="G17" s="18" t="n">
        <v>85.90831362999999</v>
      </c>
      <c r="H17" s="20" t="n">
        <v>1.60087881</v>
      </c>
      <c r="I17" s="18" t="s">
        <v>349</v>
      </c>
      <c r="J17" s="20" t="s">
        <v>349</v>
      </c>
      <c r="K17" s="18" t="n">
        <v>0</v>
      </c>
      <c r="L17" s="20" t="n">
        <v>0</v>
      </c>
      <c r="M17" s="18" t="n">
        <v>0</v>
      </c>
      <c r="N17" s="20" t="n">
        <v>0</v>
      </c>
      <c r="O17" s="18" t="n">
        <v>0</v>
      </c>
      <c r="P17" s="20" t="n">
        <v>0</v>
      </c>
      <c r="Q17" s="18" t="n">
        <v>0.49457377</v>
      </c>
      <c r="R17" s="20" t="n">
        <v>0.481186</v>
      </c>
    </row>
    <row r="18" spans="1:18">
      <c r="A18" s="15" t="s">
        <v>360</v>
      </c>
      <c r="B18" s="17" t="n">
        <v>2826</v>
      </c>
      <c r="C18" s="18">
        <f>(2500.0/B18*100)</f>
        <v/>
      </c>
      <c r="D18" s="19" t="n">
        <v>326</v>
      </c>
      <c r="E18" s="18" t="n">
        <v>18.33704818</v>
      </c>
      <c r="F18" s="20" t="n">
        <v>2.1981229</v>
      </c>
      <c r="G18" s="18" t="n">
        <v>80.93484911</v>
      </c>
      <c r="H18" s="20" t="n">
        <v>2.17634962</v>
      </c>
      <c r="I18" s="18" t="s">
        <v>349</v>
      </c>
      <c r="J18" s="20" t="s">
        <v>349</v>
      </c>
      <c r="K18" s="18" t="n">
        <v>0</v>
      </c>
      <c r="L18" s="20" t="n">
        <v>0</v>
      </c>
      <c r="M18" s="18" t="n">
        <v>0</v>
      </c>
      <c r="N18" s="20" t="n">
        <v>0</v>
      </c>
      <c r="O18" s="18" t="n">
        <v>0</v>
      </c>
      <c r="P18" s="20" t="n">
        <v>0</v>
      </c>
      <c r="Q18" s="18" t="n">
        <v>0.72810271</v>
      </c>
      <c r="R18" s="20" t="n">
        <v>0.45445649</v>
      </c>
    </row>
    <row r="19" spans="1:18">
      <c r="A19" s="15" t="s">
        <v>361</v>
      </c>
      <c r="B19" s="17" t="n">
        <v>2808</v>
      </c>
      <c r="C19" s="18">
        <f>(2465.0/B19*100)</f>
        <v/>
      </c>
      <c r="D19" s="19" t="n">
        <v>343</v>
      </c>
      <c r="E19" s="18" t="n">
        <v>21.84693215</v>
      </c>
      <c r="F19" s="20" t="n">
        <v>2.46962837</v>
      </c>
      <c r="G19" s="18" t="n">
        <v>78.15306785</v>
      </c>
      <c r="H19" s="20" t="n">
        <v>2.46962837</v>
      </c>
      <c r="I19" s="18" t="s">
        <v>349</v>
      </c>
      <c r="J19" s="20" t="s">
        <v>349</v>
      </c>
      <c r="K19" s="18" t="n">
        <v>0</v>
      </c>
      <c r="L19" s="20" t="n">
        <v>0</v>
      </c>
      <c r="M19" s="18" t="n">
        <v>0</v>
      </c>
      <c r="N19" s="20" t="n">
        <v>0</v>
      </c>
      <c r="O19" s="18" t="n">
        <v>0</v>
      </c>
      <c r="P19" s="20" t="n">
        <v>0</v>
      </c>
      <c r="Q19" s="18" t="n">
        <v>0</v>
      </c>
      <c r="R19" s="20" t="n">
        <v>0</v>
      </c>
    </row>
    <row r="20" spans="1:18">
      <c r="A20" s="15" t="s">
        <v>362</v>
      </c>
      <c r="B20" s="17" t="n">
        <v>1630</v>
      </c>
      <c r="C20" s="18">
        <f>(1425.0/B20*100)</f>
        <v/>
      </c>
      <c r="D20" s="19" t="n">
        <v>205</v>
      </c>
      <c r="E20" s="18" t="n">
        <v>13.57481827</v>
      </c>
      <c r="F20" s="20" t="n">
        <v>2.3497608</v>
      </c>
      <c r="G20" s="18" t="n">
        <v>85.96638488000001</v>
      </c>
      <c r="H20" s="20" t="n">
        <v>2.37377467</v>
      </c>
      <c r="I20" s="18" t="s">
        <v>349</v>
      </c>
      <c r="J20" s="20" t="s">
        <v>349</v>
      </c>
      <c r="K20" s="18" t="n">
        <v>0.45879685</v>
      </c>
      <c r="L20" s="20" t="n">
        <v>0.45946854</v>
      </c>
      <c r="M20" s="18" t="n">
        <v>0</v>
      </c>
      <c r="N20" s="20" t="n">
        <v>0</v>
      </c>
      <c r="O20" s="18" t="n">
        <v>0</v>
      </c>
      <c r="P20" s="20" t="n">
        <v>0</v>
      </c>
      <c r="Q20" s="18" t="n">
        <v>0</v>
      </c>
      <c r="R20" s="20" t="n">
        <v>0</v>
      </c>
    </row>
    <row r="21" spans="1:18">
      <c r="A21" s="15" t="s">
        <v>363</v>
      </c>
      <c r="B21" s="17" t="n">
        <v>2908</v>
      </c>
      <c r="C21" s="18">
        <f>(2436.0/B21*100)</f>
        <v/>
      </c>
      <c r="D21" s="19" t="n">
        <v>472</v>
      </c>
      <c r="E21" s="18" t="n">
        <v>14.05656021</v>
      </c>
      <c r="F21" s="20" t="n">
        <v>1.26804519</v>
      </c>
      <c r="G21" s="18" t="n">
        <v>85.7174405</v>
      </c>
      <c r="H21" s="20" t="n">
        <v>1.29316543</v>
      </c>
      <c r="I21" s="18" t="s">
        <v>349</v>
      </c>
      <c r="J21" s="20" t="s">
        <v>349</v>
      </c>
      <c r="K21" s="18" t="n">
        <v>0</v>
      </c>
      <c r="L21" s="20" t="n">
        <v>0</v>
      </c>
      <c r="M21" s="18" t="n">
        <v>0</v>
      </c>
      <c r="N21" s="20" t="n">
        <v>0</v>
      </c>
      <c r="O21" s="18" t="n">
        <v>0</v>
      </c>
      <c r="P21" s="20" t="n">
        <v>0</v>
      </c>
      <c r="Q21" s="18" t="n">
        <v>0.22599929</v>
      </c>
      <c r="R21" s="20" t="n">
        <v>0.28238739</v>
      </c>
    </row>
    <row r="22" spans="1:18">
      <c r="A22" s="15" t="s">
        <v>364</v>
      </c>
      <c r="B22" s="17" t="n">
        <v>2931</v>
      </c>
      <c r="C22" s="18">
        <f>(2552.0/B22*100)</f>
        <v/>
      </c>
      <c r="D22" s="19" t="n">
        <v>379</v>
      </c>
      <c r="E22" s="18" t="n">
        <v>31.17343622</v>
      </c>
      <c r="F22" s="20" t="n">
        <v>2.2624916</v>
      </c>
      <c r="G22" s="18" t="n">
        <v>67.74931644999999</v>
      </c>
      <c r="H22" s="20" t="n">
        <v>2.21835286</v>
      </c>
      <c r="I22" s="18" t="s">
        <v>349</v>
      </c>
      <c r="J22" s="20" t="s">
        <v>349</v>
      </c>
      <c r="K22" s="18" t="n">
        <v>0.21362447</v>
      </c>
      <c r="L22" s="20" t="n">
        <v>0.21388762</v>
      </c>
      <c r="M22" s="18" t="n">
        <v>0</v>
      </c>
      <c r="N22" s="20" t="n">
        <v>0</v>
      </c>
      <c r="O22" s="18" t="n">
        <v>0</v>
      </c>
      <c r="P22" s="20" t="n">
        <v>0</v>
      </c>
      <c r="Q22" s="18" t="n">
        <v>0.86362287</v>
      </c>
      <c r="R22" s="20" t="n">
        <v>0.56739896</v>
      </c>
    </row>
    <row r="23" spans="1:18">
      <c r="A23" s="15" t="s">
        <v>365</v>
      </c>
      <c r="B23" s="17" t="n">
        <v>5791</v>
      </c>
      <c r="C23" s="18">
        <f>(5090.0/B23*100)</f>
        <v/>
      </c>
      <c r="D23" s="19" t="n">
        <v>701</v>
      </c>
      <c r="E23" s="18" t="n">
        <v>16.92773513</v>
      </c>
      <c r="F23" s="20" t="n">
        <v>2.17003814</v>
      </c>
      <c r="G23" s="18" t="n">
        <v>81.91241545</v>
      </c>
      <c r="H23" s="20" t="n">
        <v>2.31166311</v>
      </c>
      <c r="I23" s="18" t="s">
        <v>349</v>
      </c>
      <c r="J23" s="20" t="s">
        <v>349</v>
      </c>
      <c r="K23" s="18" t="n">
        <v>0.01198995</v>
      </c>
      <c r="L23" s="20" t="n">
        <v>0.01205831</v>
      </c>
      <c r="M23" s="18" t="n">
        <v>0</v>
      </c>
      <c r="N23" s="20" t="n">
        <v>0</v>
      </c>
      <c r="O23" s="18" t="n">
        <v>0</v>
      </c>
      <c r="P23" s="20" t="n">
        <v>0</v>
      </c>
      <c r="Q23" s="18" t="n">
        <v>1.14785947</v>
      </c>
      <c r="R23" s="20" t="n">
        <v>0.61427916</v>
      </c>
    </row>
    <row r="24" spans="1:18">
      <c r="A24" s="15" t="s">
        <v>366</v>
      </c>
      <c r="B24" s="17" t="n">
        <v>3338</v>
      </c>
      <c r="C24" s="18">
        <f>(2906.0/B24*100)</f>
        <v/>
      </c>
      <c r="D24" s="19" t="n">
        <v>432</v>
      </c>
      <c r="E24" s="18" t="n">
        <v>18.11310302</v>
      </c>
      <c r="F24" s="20" t="n">
        <v>1.74620299</v>
      </c>
      <c r="G24" s="18" t="n">
        <v>81.00725156</v>
      </c>
      <c r="H24" s="20" t="n">
        <v>1.78950314</v>
      </c>
      <c r="I24" s="18" t="s">
        <v>349</v>
      </c>
      <c r="J24" s="20" t="s">
        <v>349</v>
      </c>
      <c r="K24" s="18" t="n">
        <v>0.21325427</v>
      </c>
      <c r="L24" s="20" t="n">
        <v>0.21504955</v>
      </c>
      <c r="M24" s="18" t="n">
        <v>0</v>
      </c>
      <c r="N24" s="20" t="n">
        <v>0</v>
      </c>
      <c r="O24" s="18" t="n">
        <v>0</v>
      </c>
      <c r="P24" s="20" t="n">
        <v>0</v>
      </c>
      <c r="Q24" s="18" t="n">
        <v>0.66639115</v>
      </c>
      <c r="R24" s="20" t="n">
        <v>0.38497595</v>
      </c>
    </row>
    <row r="25" spans="1:18">
      <c r="A25" s="15" t="s">
        <v>367</v>
      </c>
      <c r="B25" s="17" t="n">
        <v>2912</v>
      </c>
      <c r="C25" s="18">
        <f>(2564.0/B25*100)</f>
        <v/>
      </c>
      <c r="D25" s="19" t="n">
        <v>348</v>
      </c>
      <c r="E25" s="18" t="n">
        <v>14.13221543</v>
      </c>
      <c r="F25" s="20" t="n">
        <v>1.74984495</v>
      </c>
      <c r="G25" s="18" t="n">
        <v>85.86778457</v>
      </c>
      <c r="H25" s="20" t="n">
        <v>1.74984495</v>
      </c>
      <c r="I25" s="18" t="s">
        <v>349</v>
      </c>
      <c r="J25" s="20" t="s">
        <v>349</v>
      </c>
      <c r="K25" s="18" t="n">
        <v>0</v>
      </c>
      <c r="L25" s="20" t="n">
        <v>0</v>
      </c>
      <c r="M25" s="18" t="n">
        <v>0</v>
      </c>
      <c r="N25" s="20" t="n">
        <v>0</v>
      </c>
      <c r="O25" s="18" t="n">
        <v>0</v>
      </c>
      <c r="P25" s="20" t="n">
        <v>0</v>
      </c>
      <c r="Q25" s="18" t="n">
        <v>0</v>
      </c>
      <c r="R25" s="20" t="n">
        <v>0</v>
      </c>
    </row>
    <row r="26" spans="1:18">
      <c r="A26" s="15" t="s">
        <v>368</v>
      </c>
      <c r="B26" s="17" t="n">
        <v>2450</v>
      </c>
      <c r="C26" s="18">
        <f>(2161.0/B26*100)</f>
        <v/>
      </c>
      <c r="D26" s="19" t="n">
        <v>289</v>
      </c>
      <c r="E26" s="18" t="n">
        <v>19.52826784</v>
      </c>
      <c r="F26" s="20" t="n">
        <v>2.63901893</v>
      </c>
      <c r="G26" s="18" t="n">
        <v>80.47173216</v>
      </c>
      <c r="H26" s="20" t="n">
        <v>2.63901893</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(2288.0/B27*100)</f>
        <v/>
      </c>
      <c r="D27" s="19" t="n">
        <v>328</v>
      </c>
      <c r="E27" s="18" t="n">
        <v>26.75577178</v>
      </c>
      <c r="F27" s="20" t="n">
        <v>2.29126224</v>
      </c>
      <c r="G27" s="18" t="n">
        <v>72.63738417</v>
      </c>
      <c r="H27" s="20" t="n">
        <v>2.31404866</v>
      </c>
      <c r="I27" s="18" t="s">
        <v>349</v>
      </c>
      <c r="J27" s="20" t="s">
        <v>349</v>
      </c>
      <c r="K27" s="18" t="n">
        <v>0.30342202</v>
      </c>
      <c r="L27" s="20" t="n">
        <v>0.3042617</v>
      </c>
      <c r="M27" s="18" t="n">
        <v>0</v>
      </c>
      <c r="N27" s="20" t="n">
        <v>0</v>
      </c>
      <c r="O27" s="18" t="n">
        <v>0</v>
      </c>
      <c r="P27" s="20" t="n">
        <v>0</v>
      </c>
      <c r="Q27" s="18" t="n">
        <v>0.30342202</v>
      </c>
      <c r="R27" s="20" t="n">
        <v>0.30575454</v>
      </c>
    </row>
    <row r="28" spans="1:18">
      <c r="A28" s="15" t="s">
        <v>370</v>
      </c>
      <c r="B28" s="17" t="n">
        <v>3765</v>
      </c>
      <c r="C28" s="18">
        <f>(3347.0/B28*100)</f>
        <v/>
      </c>
      <c r="D28" s="19" t="n">
        <v>418</v>
      </c>
      <c r="E28" s="18" t="n">
        <v>17.76136927</v>
      </c>
      <c r="F28" s="20" t="n">
        <v>1.77108502</v>
      </c>
      <c r="G28" s="18" t="n">
        <v>81.29055424000001</v>
      </c>
      <c r="H28" s="20" t="n">
        <v>1.80330931</v>
      </c>
      <c r="I28" s="18" t="s">
        <v>349</v>
      </c>
      <c r="J28" s="20" t="s">
        <v>349</v>
      </c>
      <c r="K28" s="18" t="n">
        <v>0.74058475</v>
      </c>
      <c r="L28" s="20" t="n">
        <v>0.5437957</v>
      </c>
      <c r="M28" s="18" t="n">
        <v>0</v>
      </c>
      <c r="N28" s="20" t="n">
        <v>0</v>
      </c>
      <c r="O28" s="18" t="n">
        <v>0</v>
      </c>
      <c r="P28" s="20" t="n">
        <v>0</v>
      </c>
      <c r="Q28" s="18" t="n">
        <v>0.20749175</v>
      </c>
      <c r="R28" s="20" t="n">
        <v>0.19897372</v>
      </c>
    </row>
    <row r="29" spans="1:18">
      <c r="A29" s="15" t="s">
        <v>371</v>
      </c>
      <c r="B29" s="17" t="n">
        <v>2685</v>
      </c>
      <c r="C29" s="18">
        <f>(2388.0/B29*100)</f>
        <v/>
      </c>
      <c r="D29" s="19" t="n">
        <v>297</v>
      </c>
      <c r="E29" s="18" t="n">
        <v>20.26723844</v>
      </c>
      <c r="F29" s="20" t="n">
        <v>2.51712519</v>
      </c>
      <c r="G29" s="18" t="n">
        <v>79.02164248</v>
      </c>
      <c r="H29" s="20" t="n">
        <v>2.51028774</v>
      </c>
      <c r="I29" s="18" t="s">
        <v>349</v>
      </c>
      <c r="J29" s="20" t="s">
        <v>349</v>
      </c>
      <c r="K29" s="18" t="n">
        <v>0.34441581</v>
      </c>
      <c r="L29" s="20" t="n">
        <v>0.34410205</v>
      </c>
      <c r="M29" s="18" t="n">
        <v>0</v>
      </c>
      <c r="N29" s="20" t="n">
        <v>0</v>
      </c>
      <c r="O29" s="18" t="n">
        <v>0</v>
      </c>
      <c r="P29" s="20" t="n">
        <v>0</v>
      </c>
      <c r="Q29" s="18" t="n">
        <v>0.36670327</v>
      </c>
      <c r="R29" s="20" t="n">
        <v>0.3269281</v>
      </c>
    </row>
    <row r="30" spans="1:18">
      <c r="A30" s="15" t="s">
        <v>372</v>
      </c>
      <c r="B30" s="17" t="n">
        <v>2263</v>
      </c>
      <c r="C30" s="18">
        <f>(1980.0/B30*100)</f>
        <v/>
      </c>
      <c r="D30" s="19" t="n">
        <v>283</v>
      </c>
      <c r="E30" s="18" t="n">
        <v>14.69259509</v>
      </c>
      <c r="F30" s="20" t="n">
        <v>2.37323849</v>
      </c>
      <c r="G30" s="18" t="n">
        <v>85.02915518</v>
      </c>
      <c r="H30" s="20" t="n">
        <v>2.41230871</v>
      </c>
      <c r="I30" s="18" t="s">
        <v>349</v>
      </c>
      <c r="J30" s="20" t="s">
        <v>349</v>
      </c>
      <c r="K30" s="18" t="n">
        <v>0</v>
      </c>
      <c r="L30" s="20" t="n">
        <v>0</v>
      </c>
      <c r="M30" s="18" t="n">
        <v>0</v>
      </c>
      <c r="N30" s="20" t="n">
        <v>0</v>
      </c>
      <c r="O30" s="18" t="n">
        <v>0</v>
      </c>
      <c r="P30" s="20" t="n">
        <v>0</v>
      </c>
      <c r="Q30" s="18" t="n">
        <v>0.27824972</v>
      </c>
      <c r="R30" s="20" t="n">
        <v>0.27734543</v>
      </c>
    </row>
    <row r="31" spans="1:18">
      <c r="A31" s="15" t="s">
        <v>373</v>
      </c>
      <c r="B31" s="17" t="n">
        <v>2750</v>
      </c>
      <c r="C31" s="18">
        <f>(2410.0/B31*100)</f>
        <v/>
      </c>
      <c r="D31" s="19" t="n">
        <v>340</v>
      </c>
      <c r="E31" s="18" t="n">
        <v>11.06709758</v>
      </c>
      <c r="F31" s="20" t="n">
        <v>1.58839805</v>
      </c>
      <c r="G31" s="18" t="n">
        <v>88.09110234000001</v>
      </c>
      <c r="H31" s="20" t="n">
        <v>1.60247283</v>
      </c>
      <c r="I31" s="18" t="s">
        <v>349</v>
      </c>
      <c r="J31" s="20" t="s">
        <v>349</v>
      </c>
      <c r="K31" s="18" t="n">
        <v>0.28105984</v>
      </c>
      <c r="L31" s="20" t="n">
        <v>0.27002835</v>
      </c>
      <c r="M31" s="18" t="n">
        <v>0</v>
      </c>
      <c r="N31" s="20" t="n">
        <v>0</v>
      </c>
      <c r="O31" s="18" t="n">
        <v>0</v>
      </c>
      <c r="P31" s="20" t="n">
        <v>0</v>
      </c>
      <c r="Q31" s="18" t="n">
        <v>0.56074024</v>
      </c>
      <c r="R31" s="20" t="n">
        <v>0.39558112</v>
      </c>
    </row>
    <row r="32" spans="1:18">
      <c r="A32" s="15" t="s">
        <v>374</v>
      </c>
      <c r="B32" s="17" t="n">
        <v>2269</v>
      </c>
      <c r="C32" s="18">
        <f>(1871.0/B32*100)</f>
        <v/>
      </c>
      <c r="D32" s="19" t="n">
        <v>398</v>
      </c>
      <c r="E32" s="18" t="n">
        <v>16.37208126</v>
      </c>
      <c r="F32" s="20" t="n">
        <v>1.80525943</v>
      </c>
      <c r="G32" s="18" t="n">
        <v>83.62791874</v>
      </c>
      <c r="H32" s="20" t="n">
        <v>1.80525943</v>
      </c>
      <c r="I32" s="18" t="s">
        <v>349</v>
      </c>
      <c r="J32" s="20" t="s">
        <v>349</v>
      </c>
      <c r="K32" s="18" t="n">
        <v>0</v>
      </c>
      <c r="L32" s="20" t="n">
        <v>0</v>
      </c>
      <c r="M32" s="18" t="n">
        <v>0</v>
      </c>
      <c r="N32" s="20" t="n">
        <v>0</v>
      </c>
      <c r="O32" s="18" t="n">
        <v>0</v>
      </c>
      <c r="P32" s="20" t="n">
        <v>0</v>
      </c>
      <c r="Q32" s="18" t="n">
        <v>0</v>
      </c>
      <c r="R32" s="20" t="n">
        <v>0</v>
      </c>
    </row>
    <row r="33" spans="1:18">
      <c r="A33" s="15" t="s">
        <v>375</v>
      </c>
      <c r="B33" s="17" t="n">
        <v>3674</v>
      </c>
      <c r="C33" s="18">
        <f>(3234.0/B33*100)</f>
        <v/>
      </c>
      <c r="D33" s="19" t="n">
        <v>440</v>
      </c>
      <c r="E33" s="18" t="n">
        <v>18.16183635</v>
      </c>
      <c r="F33" s="20" t="n">
        <v>2.12955627</v>
      </c>
      <c r="G33" s="18" t="n">
        <v>81.19305437</v>
      </c>
      <c r="H33" s="20" t="n">
        <v>2.24247517</v>
      </c>
      <c r="I33" s="18" t="s">
        <v>349</v>
      </c>
      <c r="J33" s="20" t="s">
        <v>349</v>
      </c>
      <c r="K33" s="18" t="n">
        <v>0.4239366</v>
      </c>
      <c r="L33" s="20" t="n">
        <v>0.43359324</v>
      </c>
      <c r="M33" s="18" t="n">
        <v>0</v>
      </c>
      <c r="N33" s="20" t="n">
        <v>0</v>
      </c>
      <c r="O33" s="18" t="n">
        <v>0</v>
      </c>
      <c r="P33" s="20" t="n">
        <v>0</v>
      </c>
      <c r="Q33" s="18" t="n">
        <v>0.22117268</v>
      </c>
      <c r="R33" s="20" t="n">
        <v>0.20539516</v>
      </c>
    </row>
    <row r="34" spans="1:18">
      <c r="A34" s="15" t="s">
        <v>376</v>
      </c>
      <c r="B34" s="17" t="n">
        <v>3315</v>
      </c>
      <c r="C34" s="18">
        <f>(2901.0/B34*100)</f>
        <v/>
      </c>
      <c r="D34" s="19" t="n">
        <v>414</v>
      </c>
      <c r="E34" s="18" t="n">
        <v>21.44694269</v>
      </c>
      <c r="F34" s="20" t="n">
        <v>2.13051638</v>
      </c>
      <c r="G34" s="18" t="n">
        <v>78.55305731</v>
      </c>
      <c r="H34" s="20" t="n">
        <v>2.13051638</v>
      </c>
      <c r="I34" s="18" t="s">
        <v>349</v>
      </c>
      <c r="J34" s="20" t="s">
        <v>349</v>
      </c>
      <c r="K34" s="18" t="n">
        <v>0</v>
      </c>
      <c r="L34" s="20" t="n">
        <v>0</v>
      </c>
      <c r="M34" s="18" t="n">
        <v>0</v>
      </c>
      <c r="N34" s="20" t="n">
        <v>0</v>
      </c>
      <c r="O34" s="18" t="n">
        <v>0</v>
      </c>
      <c r="P34" s="20" t="n">
        <v>0</v>
      </c>
      <c r="Q34" s="18" t="n">
        <v>0</v>
      </c>
      <c r="R34" s="20" t="n">
        <v>0</v>
      </c>
    </row>
    <row r="35" spans="1:18">
      <c r="A35" s="15" t="s">
        <v>377</v>
      </c>
      <c r="B35" s="17" t="n">
        <v>3505</v>
      </c>
      <c r="C35" s="18">
        <f>(3061.0/B35*100)</f>
        <v/>
      </c>
      <c r="D35" s="19" t="n">
        <v>444</v>
      </c>
      <c r="E35" s="18" t="n">
        <v>15.85387835</v>
      </c>
      <c r="F35" s="20" t="n">
        <v>1.59107323</v>
      </c>
      <c r="G35" s="18" t="n">
        <v>83.92622502</v>
      </c>
      <c r="H35" s="20" t="n">
        <v>1.59415908</v>
      </c>
      <c r="I35" s="18" t="s">
        <v>349</v>
      </c>
      <c r="J35" s="20" t="s">
        <v>349</v>
      </c>
      <c r="K35" s="18" t="n">
        <v>0.21989663</v>
      </c>
      <c r="L35" s="20" t="n">
        <v>0.15842578</v>
      </c>
      <c r="M35" s="18" t="n">
        <v>0</v>
      </c>
      <c r="N35" s="20" t="n">
        <v>0</v>
      </c>
      <c r="O35" s="18" t="n">
        <v>0</v>
      </c>
      <c r="P35" s="20" t="n">
        <v>0</v>
      </c>
      <c r="Q35" s="18" t="n">
        <v>0</v>
      </c>
      <c r="R35" s="20" t="n">
        <v>0</v>
      </c>
    </row>
    <row r="36" spans="1:18">
      <c r="A36" s="15" t="s">
        <v>378</v>
      </c>
      <c r="B36" s="17" t="n">
        <v>3332</v>
      </c>
      <c r="C36" s="18">
        <f>(2919.0/B36*100)</f>
        <v/>
      </c>
      <c r="D36" s="19" t="n">
        <v>413</v>
      </c>
      <c r="E36" s="18" t="n">
        <v>20.43586938</v>
      </c>
      <c r="F36" s="20" t="n">
        <v>2.43626504</v>
      </c>
      <c r="G36" s="18" t="n">
        <v>79.18565354</v>
      </c>
      <c r="H36" s="20" t="n">
        <v>2.44613972</v>
      </c>
      <c r="I36" s="18" t="s">
        <v>349</v>
      </c>
      <c r="J36" s="20" t="s">
        <v>349</v>
      </c>
      <c r="K36" s="18" t="n">
        <v>0.37847708</v>
      </c>
      <c r="L36" s="20" t="n">
        <v>0.25417884</v>
      </c>
      <c r="M36" s="18" t="n">
        <v>0</v>
      </c>
      <c r="N36" s="20" t="n">
        <v>0</v>
      </c>
      <c r="O36" s="18" t="n">
        <v>0</v>
      </c>
      <c r="P36" s="20" t="n">
        <v>0</v>
      </c>
      <c r="Q36" s="18" t="n">
        <v>0</v>
      </c>
      <c r="R36" s="20" t="n">
        <v>0</v>
      </c>
    </row>
    <row r="37" spans="1:18">
      <c r="A37" s="15" t="s">
        <v>379</v>
      </c>
      <c r="B37" s="17" t="n">
        <v>2727</v>
      </c>
      <c r="C37" s="18">
        <f>(2400.0/B37*100)</f>
        <v/>
      </c>
      <c r="D37" s="19" t="n">
        <v>327</v>
      </c>
      <c r="E37" s="18" t="n">
        <v>22.96054628</v>
      </c>
      <c r="F37" s="20" t="n">
        <v>2.25384243</v>
      </c>
      <c r="G37" s="18" t="n">
        <v>74.53449396000001</v>
      </c>
      <c r="H37" s="20" t="n">
        <v>2.41614568</v>
      </c>
      <c r="I37" s="18" t="s">
        <v>349</v>
      </c>
      <c r="J37" s="20" t="s">
        <v>349</v>
      </c>
      <c r="K37" s="18" t="n">
        <v>1.14970195</v>
      </c>
      <c r="L37" s="20" t="n">
        <v>0.57569969</v>
      </c>
      <c r="M37" s="18" t="n">
        <v>0</v>
      </c>
      <c r="N37" s="20" t="n">
        <v>0</v>
      </c>
      <c r="O37" s="18" t="n">
        <v>0</v>
      </c>
      <c r="P37" s="20" t="n">
        <v>0</v>
      </c>
      <c r="Q37" s="18" t="n">
        <v>1.35525782</v>
      </c>
      <c r="R37" s="20" t="n">
        <v>0.69673861</v>
      </c>
    </row>
    <row r="38" spans="1:18">
      <c r="A38" s="15" t="s">
        <v>380</v>
      </c>
      <c r="B38" s="17" t="n">
        <v>3053</v>
      </c>
      <c r="C38" s="18">
        <f>(2586.0/B38*100)</f>
        <v/>
      </c>
      <c r="D38" s="19" t="n">
        <v>467</v>
      </c>
      <c r="E38" s="18" t="n">
        <v>18.25142084</v>
      </c>
      <c r="F38" s="20" t="n">
        <v>1.92982679</v>
      </c>
      <c r="G38" s="18" t="n">
        <v>81.26766485</v>
      </c>
      <c r="H38" s="20" t="n">
        <v>1.94276158</v>
      </c>
      <c r="I38" s="18" t="s">
        <v>349</v>
      </c>
      <c r="J38" s="20" t="s">
        <v>349</v>
      </c>
      <c r="K38" s="18" t="n">
        <v>0</v>
      </c>
      <c r="L38" s="20" t="n">
        <v>0</v>
      </c>
      <c r="M38" s="18" t="n">
        <v>0</v>
      </c>
      <c r="N38" s="20" t="n">
        <v>0</v>
      </c>
      <c r="O38" s="18" t="n">
        <v>0</v>
      </c>
      <c r="P38" s="20" t="n">
        <v>0</v>
      </c>
      <c r="Q38" s="18" t="n">
        <v>0.48091432</v>
      </c>
      <c r="R38" s="20" t="n">
        <v>0.33789669</v>
      </c>
    </row>
    <row r="39" spans="1:18">
      <c r="A39" s="15" t="s">
        <v>381</v>
      </c>
      <c r="B39" s="17" t="n">
        <v>2957</v>
      </c>
      <c r="C39" s="18">
        <f>(2593.0/B39*100)</f>
        <v/>
      </c>
      <c r="D39" s="19" t="n">
        <v>364</v>
      </c>
      <c r="E39" s="18" t="n">
        <v>16.75994863</v>
      </c>
      <c r="F39" s="20" t="n">
        <v>2.45872753</v>
      </c>
      <c r="G39" s="18" t="n">
        <v>82.03469448</v>
      </c>
      <c r="H39" s="20" t="n">
        <v>2.43554616</v>
      </c>
      <c r="I39" s="18" t="s">
        <v>349</v>
      </c>
      <c r="J39" s="20" t="s">
        <v>349</v>
      </c>
      <c r="K39" s="18" t="n">
        <v>0.34279545</v>
      </c>
      <c r="L39" s="20" t="n">
        <v>0.34334112</v>
      </c>
      <c r="M39" s="18" t="n">
        <v>0</v>
      </c>
      <c r="N39" s="20" t="n">
        <v>0</v>
      </c>
      <c r="O39" s="18" t="n">
        <v>0</v>
      </c>
      <c r="P39" s="20" t="n">
        <v>0</v>
      </c>
      <c r="Q39" s="18" t="n">
        <v>0.86256143</v>
      </c>
      <c r="R39" s="20" t="n">
        <v>0.35461502</v>
      </c>
    </row>
    <row r="40" spans="1:18">
      <c r="A40" s="15" t="s">
        <v>382</v>
      </c>
      <c r="B40" s="17" t="n">
        <v>7235</v>
      </c>
      <c r="C40" s="18">
        <f>(6332.0/B40*100)</f>
        <v/>
      </c>
      <c r="D40" s="19" t="n">
        <v>903</v>
      </c>
      <c r="E40" s="18" t="n">
        <v>13.2220978</v>
      </c>
      <c r="F40" s="20" t="n">
        <v>1.84734938</v>
      </c>
      <c r="G40" s="18" t="n">
        <v>86.36758945</v>
      </c>
      <c r="H40" s="20" t="n">
        <v>1.85778254</v>
      </c>
      <c r="I40" s="18" t="s">
        <v>349</v>
      </c>
      <c r="J40" s="20" t="s">
        <v>349</v>
      </c>
      <c r="K40" s="18" t="n">
        <v>0.27394054</v>
      </c>
      <c r="L40" s="20" t="n">
        <v>0.19380772</v>
      </c>
      <c r="M40" s="18" t="n">
        <v>0</v>
      </c>
      <c r="N40" s="20" t="n">
        <v>0</v>
      </c>
      <c r="O40" s="18" t="n">
        <v>0</v>
      </c>
      <c r="P40" s="20" t="n">
        <v>0</v>
      </c>
      <c r="Q40" s="18" t="n">
        <v>0.13637221</v>
      </c>
      <c r="R40" s="20" t="n">
        <v>0.06073858</v>
      </c>
    </row>
    <row r="41" spans="1:18">
      <c r="A41" s="15" t="s">
        <v>383</v>
      </c>
      <c r="B41" s="17" t="n">
        <v>2858</v>
      </c>
      <c r="C41" s="18">
        <f>(2510.0/B41*100)</f>
        <v/>
      </c>
      <c r="D41" s="19" t="n">
        <v>348</v>
      </c>
      <c r="E41" s="18" t="n">
        <v>23.71764069</v>
      </c>
      <c r="F41" s="20" t="n">
        <v>2.44204072</v>
      </c>
      <c r="G41" s="18" t="n">
        <v>75.45516567</v>
      </c>
      <c r="H41" s="20" t="n">
        <v>2.55842794</v>
      </c>
      <c r="I41" s="18" t="s">
        <v>349</v>
      </c>
      <c r="J41" s="20" t="s">
        <v>349</v>
      </c>
      <c r="K41" s="18" t="n">
        <v>0.82719364</v>
      </c>
      <c r="L41" s="20" t="n">
        <v>0.83699815</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(9820.0/B46*100)</f>
        <v/>
      </c>
      <c r="D46" s="19" t="n">
        <v>1248</v>
      </c>
      <c r="E46" s="18" t="n">
        <v>25.64124345</v>
      </c>
      <c r="F46" s="20" t="n">
        <v>1.49246438</v>
      </c>
      <c r="G46" s="18" t="n">
        <v>72.73211240000001</v>
      </c>
      <c r="H46" s="20" t="n">
        <v>1.52894131</v>
      </c>
      <c r="I46" s="18" t="s">
        <v>349</v>
      </c>
      <c r="J46" s="20" t="s">
        <v>349</v>
      </c>
      <c r="K46" s="18" t="n">
        <v>0.49473417</v>
      </c>
      <c r="L46" s="20" t="n">
        <v>0.16449833</v>
      </c>
      <c r="M46" s="18" t="n">
        <v>0</v>
      </c>
      <c r="N46" s="20" t="n">
        <v>0</v>
      </c>
      <c r="O46" s="18" t="n">
        <v>0</v>
      </c>
      <c r="P46" s="20" t="n">
        <v>0</v>
      </c>
      <c r="Q46" s="18" t="n">
        <v>1.13190997</v>
      </c>
      <c r="R46" s="20" t="n">
        <v>0.51098924</v>
      </c>
    </row>
    <row r="47" spans="1:18">
      <c r="A47" s="15" t="s">
        <v>389</v>
      </c>
      <c r="B47" s="17" t="n">
        <v>3105</v>
      </c>
      <c r="C47" s="18">
        <f>(2725.0/B47*100)</f>
        <v/>
      </c>
      <c r="D47" s="19" t="n">
        <v>380</v>
      </c>
      <c r="E47" s="18" t="n">
        <v>33.98236136</v>
      </c>
      <c r="F47" s="20" t="n">
        <v>2.48664853</v>
      </c>
      <c r="G47" s="18" t="n">
        <v>65.27457724</v>
      </c>
      <c r="H47" s="20" t="n">
        <v>2.57869086</v>
      </c>
      <c r="I47" s="18" t="s">
        <v>349</v>
      </c>
      <c r="J47" s="20" t="s">
        <v>349</v>
      </c>
      <c r="K47" s="18" t="n">
        <v>0.2429216</v>
      </c>
      <c r="L47" s="20" t="n">
        <v>0.24486197</v>
      </c>
      <c r="M47" s="18" t="n">
        <v>0</v>
      </c>
      <c r="N47" s="20" t="n">
        <v>0</v>
      </c>
      <c r="O47" s="18" t="n">
        <v>0</v>
      </c>
      <c r="P47" s="20" t="n">
        <v>0</v>
      </c>
      <c r="Q47" s="18" t="n">
        <v>0.50013979</v>
      </c>
      <c r="R47" s="20" t="n">
        <v>0.35733475</v>
      </c>
    </row>
    <row r="48" spans="1:18">
      <c r="A48" s="15" t="s">
        <v>390</v>
      </c>
      <c r="B48" s="17" t="n">
        <v>5159</v>
      </c>
      <c r="C48" s="18">
        <f>(4532.0/B48*100)</f>
        <v/>
      </c>
      <c r="D48" s="19" t="n">
        <v>627</v>
      </c>
      <c r="E48" s="18" t="n">
        <v>4.2981583</v>
      </c>
      <c r="F48" s="20" t="n">
        <v>1.10936532</v>
      </c>
      <c r="G48" s="18" t="n">
        <v>95.19059747999999</v>
      </c>
      <c r="H48" s="20" t="n">
        <v>1.2034312</v>
      </c>
      <c r="I48" s="18" t="s">
        <v>349</v>
      </c>
      <c r="J48" s="20" t="s">
        <v>349</v>
      </c>
      <c r="K48" s="18" t="n">
        <v>0.23456399</v>
      </c>
      <c r="L48" s="20" t="n">
        <v>0.22023506</v>
      </c>
      <c r="M48" s="18" t="n">
        <v>0</v>
      </c>
      <c r="N48" s="20" t="n">
        <v>0</v>
      </c>
      <c r="O48" s="18" t="n">
        <v>0</v>
      </c>
      <c r="P48" s="20" t="n">
        <v>0</v>
      </c>
      <c r="Q48" s="18" t="n">
        <v>0.27668023</v>
      </c>
      <c r="R48" s="20" t="n">
        <v>0.27665566</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(4935.0/B50*100)</f>
        <v/>
      </c>
      <c r="D50" s="19" t="n">
        <v>702</v>
      </c>
      <c r="E50" s="18" t="n">
        <v>29.9435081</v>
      </c>
      <c r="F50" s="20" t="n">
        <v>2.52741382</v>
      </c>
      <c r="G50" s="18" t="n">
        <v>69.54938257000001</v>
      </c>
      <c r="H50" s="20" t="n">
        <v>2.52587038</v>
      </c>
      <c r="I50" s="18" t="s">
        <v>349</v>
      </c>
      <c r="J50" s="20" t="s">
        <v>349</v>
      </c>
      <c r="K50" s="18" t="n">
        <v>0.32727529</v>
      </c>
      <c r="L50" s="20" t="n">
        <v>0.32010781</v>
      </c>
      <c r="M50" s="18" t="n">
        <v>0</v>
      </c>
      <c r="N50" s="20" t="n">
        <v>0</v>
      </c>
      <c r="O50" s="18" t="n">
        <v>0</v>
      </c>
      <c r="P50" s="20" t="n">
        <v>0</v>
      </c>
      <c r="Q50" s="18" t="n">
        <v>0.17983404</v>
      </c>
      <c r="R50" s="20" t="n">
        <v>0.11795363</v>
      </c>
    </row>
    <row r="51" spans="1:18">
      <c r="A51" s="15" t="s">
        <v>393</v>
      </c>
      <c r="B51" s="17" t="n">
        <v>3372</v>
      </c>
      <c r="C51" s="18">
        <f>(3014.0/B51*100)</f>
        <v/>
      </c>
      <c r="D51" s="19" t="n">
        <v>358</v>
      </c>
      <c r="E51" s="18" t="n">
        <v>22.3450671</v>
      </c>
      <c r="F51" s="20" t="n">
        <v>2.43487661</v>
      </c>
      <c r="G51" s="18" t="n">
        <v>77.14084246</v>
      </c>
      <c r="H51" s="20" t="n">
        <v>2.48005588</v>
      </c>
      <c r="I51" s="18" t="s">
        <v>349</v>
      </c>
      <c r="J51" s="20" t="s">
        <v>349</v>
      </c>
      <c r="K51" s="18" t="n">
        <v>0</v>
      </c>
      <c r="L51" s="20" t="n">
        <v>0</v>
      </c>
      <c r="M51" s="18" t="n">
        <v>0</v>
      </c>
      <c r="N51" s="20" t="n">
        <v>0</v>
      </c>
      <c r="O51" s="18" t="n">
        <v>0</v>
      </c>
      <c r="P51" s="20" t="n">
        <v>0</v>
      </c>
      <c r="Q51" s="18" t="n">
        <v>0.51409045</v>
      </c>
      <c r="R51" s="20" t="n">
        <v>0.38614473</v>
      </c>
    </row>
    <row r="52" spans="1:18">
      <c r="A52" s="15" t="s">
        <v>394</v>
      </c>
      <c r="B52" s="17" t="n">
        <v>2796</v>
      </c>
      <c r="C52" s="18">
        <f>(2460.0/B52*100)</f>
        <v/>
      </c>
      <c r="D52" s="19" t="n">
        <v>336</v>
      </c>
      <c r="E52" s="18" t="n">
        <v>25.95620909</v>
      </c>
      <c r="F52" s="20" t="n">
        <v>2.54224614</v>
      </c>
      <c r="G52" s="18" t="n">
        <v>73.53719493</v>
      </c>
      <c r="H52" s="20" t="n">
        <v>2.56173162</v>
      </c>
      <c r="I52" s="18" t="s">
        <v>349</v>
      </c>
      <c r="J52" s="20" t="s">
        <v>349</v>
      </c>
      <c r="K52" s="18" t="n">
        <v>0</v>
      </c>
      <c r="L52" s="20" t="n">
        <v>0</v>
      </c>
      <c r="M52" s="18" t="n">
        <v>0</v>
      </c>
      <c r="N52" s="20" t="n">
        <v>0</v>
      </c>
      <c r="O52" s="18" t="n">
        <v>0</v>
      </c>
      <c r="P52" s="20" t="n">
        <v>0</v>
      </c>
      <c r="Q52" s="18" t="n">
        <v>0.5065959799999999</v>
      </c>
      <c r="R52" s="20" t="n">
        <v>0.35631139</v>
      </c>
    </row>
    <row r="53" spans="1:18">
      <c r="A53" s="15" t="s">
        <v>395</v>
      </c>
      <c r="B53" s="17" t="n">
        <v>2811</v>
      </c>
      <c r="C53" s="18">
        <f>(2464.0/B53*100)</f>
        <v/>
      </c>
      <c r="D53" s="19" t="n">
        <v>347</v>
      </c>
      <c r="E53" s="18" t="n">
        <v>18.3206541</v>
      </c>
      <c r="F53" s="20" t="n">
        <v>2.27648849</v>
      </c>
      <c r="G53" s="18" t="n">
        <v>80.78162884</v>
      </c>
      <c r="H53" s="20" t="n">
        <v>2.18577369</v>
      </c>
      <c r="I53" s="18" t="s">
        <v>349</v>
      </c>
      <c r="J53" s="20" t="s">
        <v>349</v>
      </c>
      <c r="K53" s="18" t="n">
        <v>0.20743227</v>
      </c>
      <c r="L53" s="20" t="n">
        <v>0.20654667</v>
      </c>
      <c r="M53" s="18" t="n">
        <v>0</v>
      </c>
      <c r="N53" s="20" t="n">
        <v>0</v>
      </c>
      <c r="O53" s="18" t="n">
        <v>0</v>
      </c>
      <c r="P53" s="20" t="n">
        <v>0</v>
      </c>
      <c r="Q53" s="18" t="n">
        <v>0.69028479</v>
      </c>
      <c r="R53" s="20" t="n">
        <v>0.39737483</v>
      </c>
    </row>
    <row r="54" spans="1:18">
      <c r="A54" s="15" t="s">
        <v>396</v>
      </c>
      <c r="B54" s="17" t="n">
        <v>2266</v>
      </c>
      <c r="C54" s="18">
        <f>(1882.0/B54*100)</f>
        <v/>
      </c>
      <c r="D54" s="19" t="n">
        <v>384</v>
      </c>
      <c r="E54" s="18" t="n">
        <v>31.20829838</v>
      </c>
      <c r="F54" s="20" t="n">
        <v>2.64578505</v>
      </c>
      <c r="G54" s="18" t="n">
        <v>62.38264402</v>
      </c>
      <c r="H54" s="20" t="n">
        <v>2.8670038</v>
      </c>
      <c r="I54" s="18" t="s">
        <v>349</v>
      </c>
      <c r="J54" s="20" t="s">
        <v>349</v>
      </c>
      <c r="K54" s="18" t="n">
        <v>4.88803634</v>
      </c>
      <c r="L54" s="20" t="n">
        <v>1.2944648</v>
      </c>
      <c r="M54" s="18" t="n">
        <v>0</v>
      </c>
      <c r="N54" s="20" t="n">
        <v>0</v>
      </c>
      <c r="O54" s="18" t="n">
        <v>0</v>
      </c>
      <c r="P54" s="20" t="n">
        <v>0</v>
      </c>
      <c r="Q54" s="18" t="n">
        <v>1.52102125</v>
      </c>
      <c r="R54" s="20" t="n">
        <v>0.62348606</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(2369.0/B56*100)</f>
        <v/>
      </c>
      <c r="D56" s="19" t="n">
        <v>315</v>
      </c>
      <c r="E56" s="18" t="n">
        <v>19.98065035</v>
      </c>
      <c r="F56" s="20" t="n">
        <v>2.45409921</v>
      </c>
      <c r="G56" s="18" t="n">
        <v>79.78668979</v>
      </c>
      <c r="H56" s="20" t="n">
        <v>2.45764466</v>
      </c>
      <c r="I56" s="18" t="s">
        <v>349</v>
      </c>
      <c r="J56" s="20" t="s">
        <v>349</v>
      </c>
      <c r="K56" s="18" t="n">
        <v>0</v>
      </c>
      <c r="L56" s="20" t="n">
        <v>0</v>
      </c>
      <c r="M56" s="18" t="n">
        <v>0</v>
      </c>
      <c r="N56" s="20" t="n">
        <v>0</v>
      </c>
      <c r="O56" s="18" t="n">
        <v>0</v>
      </c>
      <c r="P56" s="20" t="n">
        <v>0</v>
      </c>
      <c r="Q56" s="18" t="n">
        <v>0.23265986</v>
      </c>
      <c r="R56" s="20" t="n">
        <v>0.23270631</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(2928.0/B61*100)</f>
        <v/>
      </c>
      <c r="D61" s="19" t="n">
        <v>396</v>
      </c>
      <c r="E61" s="18" t="n">
        <v>27.50331894</v>
      </c>
      <c r="F61" s="20" t="n">
        <v>2.29191368</v>
      </c>
      <c r="G61" s="18" t="n">
        <v>71.05255047999999</v>
      </c>
      <c r="H61" s="20" t="n">
        <v>2.22942127</v>
      </c>
      <c r="I61" s="18" t="s">
        <v>349</v>
      </c>
      <c r="J61" s="20" t="s">
        <v>349</v>
      </c>
      <c r="K61" s="18" t="n">
        <v>0</v>
      </c>
      <c r="L61" s="20" t="n">
        <v>0</v>
      </c>
      <c r="M61" s="18" t="n">
        <v>0</v>
      </c>
      <c r="N61" s="20" t="n">
        <v>0</v>
      </c>
      <c r="O61" s="18" t="n">
        <v>0</v>
      </c>
      <c r="P61" s="20" t="n">
        <v>0</v>
      </c>
      <c r="Q61" s="18" t="n">
        <v>1.44413058</v>
      </c>
      <c r="R61" s="20" t="n">
        <v>0.70784903</v>
      </c>
    </row>
    <row r="62" spans="1:18">
      <c r="A62" s="15" t="s">
        <v>404</v>
      </c>
      <c r="B62" s="17" t="n">
        <v>2246</v>
      </c>
      <c r="C62" s="18">
        <f>(2001.0/B62*100)</f>
        <v/>
      </c>
      <c r="D62" s="19" t="n">
        <v>245</v>
      </c>
      <c r="E62" s="18" t="n">
        <v>11.04767684</v>
      </c>
      <c r="F62" s="20" t="n">
        <v>1.88770146</v>
      </c>
      <c r="G62" s="18" t="n">
        <v>88.95232316000001</v>
      </c>
      <c r="H62" s="20" t="n">
        <v>1.88770146</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(2542.0/B66*100)</f>
        <v/>
      </c>
      <c r="D66" s="19" t="n">
        <v>352</v>
      </c>
      <c r="E66" s="18" t="n">
        <v>43.38014394</v>
      </c>
      <c r="F66" s="20" t="n">
        <v>2.59154548</v>
      </c>
      <c r="G66" s="18" t="n">
        <v>55.59374872</v>
      </c>
      <c r="H66" s="20" t="n">
        <v>2.55339492</v>
      </c>
      <c r="I66" s="18" t="s">
        <v>349</v>
      </c>
      <c r="J66" s="20" t="s">
        <v>349</v>
      </c>
      <c r="K66" s="18" t="n">
        <v>0.27782504</v>
      </c>
      <c r="L66" s="20" t="n">
        <v>0.27846196</v>
      </c>
      <c r="M66" s="18" t="n">
        <v>0</v>
      </c>
      <c r="N66" s="20" t="n">
        <v>0</v>
      </c>
      <c r="O66" s="18" t="n">
        <v>0</v>
      </c>
      <c r="P66" s="20" t="n">
        <v>0</v>
      </c>
      <c r="Q66" s="18" t="n">
        <v>0.7482823</v>
      </c>
      <c r="R66" s="20" t="n">
        <v>0.4305986</v>
      </c>
    </row>
    <row r="67" spans="1:18">
      <c r="A67" s="15" t="s">
        <v>409</v>
      </c>
      <c r="B67" s="17" t="n">
        <v>3511</v>
      </c>
      <c r="C67" s="18">
        <f>(3109.0/B67*100)</f>
        <v/>
      </c>
      <c r="D67" s="19" t="n">
        <v>402</v>
      </c>
      <c r="E67" s="18" t="n">
        <v>39.0520343</v>
      </c>
      <c r="F67" s="20" t="n">
        <v>2.82595104</v>
      </c>
      <c r="G67" s="18" t="n">
        <v>60.47281206</v>
      </c>
      <c r="H67" s="20" t="n">
        <v>2.80049803</v>
      </c>
      <c r="I67" s="18" t="s">
        <v>349</v>
      </c>
      <c r="J67" s="20" t="s">
        <v>349</v>
      </c>
      <c r="K67" s="18" t="n">
        <v>0</v>
      </c>
      <c r="L67" s="20" t="n">
        <v>0</v>
      </c>
      <c r="M67" s="18" t="n">
        <v>0</v>
      </c>
      <c r="N67" s="20" t="n">
        <v>0</v>
      </c>
      <c r="O67" s="18" t="n">
        <v>0</v>
      </c>
      <c r="P67" s="20" t="n">
        <v>0</v>
      </c>
      <c r="Q67" s="18" t="n">
        <v>0.47515364</v>
      </c>
      <c r="R67" s="20" t="n">
        <v>0.33356114</v>
      </c>
    </row>
    <row r="68" spans="1:18">
      <c r="A68" s="15" t="s">
        <v>410</v>
      </c>
      <c r="B68" s="17" t="n">
        <v>6049</v>
      </c>
      <c r="C68" s="18">
        <f>(5064.0/B68*100)</f>
        <v/>
      </c>
      <c r="D68" s="19" t="n">
        <v>985</v>
      </c>
      <c r="E68" s="18" t="n">
        <v>42.95628109</v>
      </c>
      <c r="F68" s="20" t="n">
        <v>1.5241032</v>
      </c>
      <c r="G68" s="18" t="n">
        <v>53.11403837</v>
      </c>
      <c r="H68" s="20" t="n">
        <v>1.5437847</v>
      </c>
      <c r="I68" s="18" t="s">
        <v>349</v>
      </c>
      <c r="J68" s="20" t="s">
        <v>349</v>
      </c>
      <c r="K68" s="18" t="n">
        <v>1.52877744</v>
      </c>
      <c r="L68" s="20" t="n">
        <v>0.34729572</v>
      </c>
      <c r="M68" s="18" t="n">
        <v>0</v>
      </c>
      <c r="N68" s="20" t="n">
        <v>0</v>
      </c>
      <c r="O68" s="18" t="n">
        <v>0</v>
      </c>
      <c r="P68" s="20" t="n">
        <v>0</v>
      </c>
      <c r="Q68" s="18" t="n">
        <v>2.40090309</v>
      </c>
      <c r="R68" s="20" t="n">
        <v>0.5029647699999999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(2601.0/B70*100)</f>
        <v/>
      </c>
      <c r="D70" s="19" t="n">
        <v>328</v>
      </c>
      <c r="E70" s="18" t="n">
        <v>27.71720057</v>
      </c>
      <c r="F70" s="20" t="n">
        <v>2.69150617</v>
      </c>
      <c r="G70" s="18" t="n">
        <v>71.8540017</v>
      </c>
      <c r="H70" s="20" t="n">
        <v>2.67063757</v>
      </c>
      <c r="I70" s="18" t="s">
        <v>349</v>
      </c>
      <c r="J70" s="20" t="s">
        <v>349</v>
      </c>
      <c r="K70" s="18" t="n">
        <v>0.15775439</v>
      </c>
      <c r="L70" s="20" t="n">
        <v>0.11258688</v>
      </c>
      <c r="M70" s="18" t="n">
        <v>0</v>
      </c>
      <c r="N70" s="20" t="n">
        <v>0</v>
      </c>
      <c r="O70" s="18" t="n">
        <v>0</v>
      </c>
      <c r="P70" s="20" t="n">
        <v>0</v>
      </c>
      <c r="Q70" s="18" t="n">
        <v>0.27104334</v>
      </c>
      <c r="R70" s="20" t="n">
        <v>0.26561656</v>
      </c>
    </row>
    <row r="71" spans="1:18">
      <c r="A71" s="15" t="s">
        <v>413</v>
      </c>
      <c r="B71" s="17" t="n">
        <v>3142</v>
      </c>
      <c r="C71" s="18">
        <f>(2748.0/B71*100)</f>
        <v/>
      </c>
      <c r="D71" s="19" t="n">
        <v>394</v>
      </c>
      <c r="E71" s="18" t="n">
        <v>15.99264013</v>
      </c>
      <c r="F71" s="20" t="n">
        <v>1.70190134</v>
      </c>
      <c r="G71" s="18" t="n">
        <v>83.29337211000001</v>
      </c>
      <c r="H71" s="20" t="n">
        <v>1.86962059</v>
      </c>
      <c r="I71" s="18" t="s">
        <v>349</v>
      </c>
      <c r="J71" s="20" t="s">
        <v>349</v>
      </c>
      <c r="K71" s="18" t="n">
        <v>0.20376283</v>
      </c>
      <c r="L71" s="20" t="n">
        <v>0.20392147</v>
      </c>
      <c r="M71" s="18" t="n">
        <v>0</v>
      </c>
      <c r="N71" s="20" t="n">
        <v>0</v>
      </c>
      <c r="O71" s="18" t="n">
        <v>0</v>
      </c>
      <c r="P71" s="20" t="n">
        <v>0</v>
      </c>
      <c r="Q71" s="18" t="n">
        <v>0.51022492</v>
      </c>
      <c r="R71" s="20" t="n">
        <v>0.36598124</v>
      </c>
    </row>
    <row r="72" spans="1:18">
      <c r="A72" s="15" t="s">
        <v>414</v>
      </c>
      <c r="B72" s="17" t="n">
        <v>3889</v>
      </c>
      <c r="C72" s="18">
        <f>(3402.0/B72*100)</f>
        <v/>
      </c>
      <c r="D72" s="19" t="n">
        <v>487</v>
      </c>
      <c r="E72" s="18" t="n">
        <v>11.93743866</v>
      </c>
      <c r="F72" s="20" t="n">
        <v>1.44211445</v>
      </c>
      <c r="G72" s="18" t="n">
        <v>87.78552845</v>
      </c>
      <c r="H72" s="20" t="n">
        <v>1.46841799</v>
      </c>
      <c r="I72" s="18" t="s">
        <v>349</v>
      </c>
      <c r="J72" s="20" t="s">
        <v>349</v>
      </c>
      <c r="K72" s="18" t="n">
        <v>0.27703289</v>
      </c>
      <c r="L72" s="20" t="n">
        <v>0.27713718</v>
      </c>
      <c r="M72" s="18" t="n">
        <v>0</v>
      </c>
      <c r="N72" s="20" t="n">
        <v>0</v>
      </c>
      <c r="O72" s="18" t="n">
        <v>0</v>
      </c>
      <c r="P72" s="20" t="n">
        <v>0</v>
      </c>
      <c r="Q72" s="18" t="n">
        <v>0</v>
      </c>
      <c r="R72" s="20" t="n">
        <v>0</v>
      </c>
    </row>
    <row r="73" spans="1:18">
      <c r="A73" s="15" t="s">
        <v>415</v>
      </c>
      <c r="B73" s="17" t="n">
        <v>3597</v>
      </c>
      <c r="C73" s="18">
        <f>(3149.0/B73*100)</f>
        <v/>
      </c>
      <c r="D73" s="19" t="n">
        <v>448</v>
      </c>
      <c r="E73" s="18" t="n">
        <v>26.7320662</v>
      </c>
      <c r="F73" s="20" t="n">
        <v>2.23079021</v>
      </c>
      <c r="G73" s="18" t="n">
        <v>73.18787704</v>
      </c>
      <c r="H73" s="20" t="n">
        <v>2.24078584</v>
      </c>
      <c r="I73" s="18" t="s">
        <v>349</v>
      </c>
      <c r="J73" s="20" t="s">
        <v>349</v>
      </c>
      <c r="K73" s="18" t="n">
        <v>0</v>
      </c>
      <c r="L73" s="20" t="n">
        <v>0</v>
      </c>
      <c r="M73" s="18" t="n">
        <v>0</v>
      </c>
      <c r="N73" s="20" t="n">
        <v>0</v>
      </c>
      <c r="O73" s="18" t="n">
        <v>0</v>
      </c>
      <c r="P73" s="20" t="n">
        <v>0</v>
      </c>
      <c r="Q73" s="18" t="n">
        <v>0.08005676</v>
      </c>
      <c r="R73" s="20" t="n">
        <v>0.08353026</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(2125.0/B75*100)</f>
        <v/>
      </c>
      <c r="D75" s="19" t="n">
        <v>281</v>
      </c>
      <c r="E75" s="18" t="n">
        <v>49.70616994</v>
      </c>
      <c r="F75" s="20" t="n">
        <v>3.00507348</v>
      </c>
      <c r="G75" s="18" t="n">
        <v>46.71152173</v>
      </c>
      <c r="H75" s="20" t="n">
        <v>3.00935891</v>
      </c>
      <c r="I75" s="18" t="s">
        <v>349</v>
      </c>
      <c r="J75" s="20" t="s">
        <v>349</v>
      </c>
      <c r="K75" s="18" t="n">
        <v>0.60387651</v>
      </c>
      <c r="L75" s="20" t="n">
        <v>0.40459964</v>
      </c>
      <c r="M75" s="18" t="n">
        <v>0</v>
      </c>
      <c r="N75" s="20" t="n">
        <v>0</v>
      </c>
      <c r="O75" s="18" t="n">
        <v>0</v>
      </c>
      <c r="P75" s="20" t="n">
        <v>0</v>
      </c>
      <c r="Q75" s="18" t="n">
        <v>2.97843182</v>
      </c>
      <c r="R75" s="20" t="n">
        <v>1.4676127</v>
      </c>
    </row>
    <row r="76" spans="1:18">
      <c r="A76" s="15" t="s">
        <v>418</v>
      </c>
      <c r="B76" s="17" t="n">
        <v>7052</v>
      </c>
      <c r="C76" s="18">
        <f>(6209.0/B76*100)</f>
        <v/>
      </c>
      <c r="D76" s="19" t="n">
        <v>843</v>
      </c>
      <c r="E76" s="18" t="n">
        <v>37.46018911</v>
      </c>
      <c r="F76" s="20" t="n">
        <v>2.49031032</v>
      </c>
      <c r="G76" s="18" t="n">
        <v>59.99613553</v>
      </c>
      <c r="H76" s="20" t="n">
        <v>2.38128187</v>
      </c>
      <c r="I76" s="18" t="s">
        <v>349</v>
      </c>
      <c r="J76" s="20" t="s">
        <v>349</v>
      </c>
      <c r="K76" s="18" t="n">
        <v>1.17741378</v>
      </c>
      <c r="L76" s="20" t="n">
        <v>0.38467504</v>
      </c>
      <c r="M76" s="18" t="n">
        <v>0</v>
      </c>
      <c r="N76" s="20" t="n">
        <v>0</v>
      </c>
      <c r="O76" s="18" t="n">
        <v>0</v>
      </c>
      <c r="P76" s="20" t="n">
        <v>0</v>
      </c>
      <c r="Q76" s="18" t="n">
        <v>1.36626157</v>
      </c>
      <c r="R76" s="20" t="n">
        <v>0.4758421</v>
      </c>
    </row>
    <row r="77" spans="1:18">
      <c r="A77" s="15" t="s">
        <v>419</v>
      </c>
      <c r="B77" s="17" t="n">
        <v>2908</v>
      </c>
      <c r="C77" s="18">
        <f>(2538.0/B77*100)</f>
        <v/>
      </c>
      <c r="D77" s="19" t="n">
        <v>370</v>
      </c>
      <c r="E77" s="18" t="n">
        <v>24.84315261</v>
      </c>
      <c r="F77" s="20" t="n">
        <v>2.0191369</v>
      </c>
      <c r="G77" s="18" t="n">
        <v>74.59483968000001</v>
      </c>
      <c r="H77" s="20" t="n">
        <v>2.00382261</v>
      </c>
      <c r="I77" s="18" t="s">
        <v>349</v>
      </c>
      <c r="J77" s="20" t="s">
        <v>349</v>
      </c>
      <c r="K77" s="18" t="n">
        <v>0</v>
      </c>
      <c r="L77" s="20" t="n">
        <v>0</v>
      </c>
      <c r="M77" s="18" t="n">
        <v>0</v>
      </c>
      <c r="N77" s="20" t="n">
        <v>0</v>
      </c>
      <c r="O77" s="18" t="n">
        <v>0</v>
      </c>
      <c r="P77" s="20" t="n">
        <v>0</v>
      </c>
      <c r="Q77" s="18" t="n">
        <v>0.56200771</v>
      </c>
      <c r="R77" s="20" t="n">
        <v>0.44412296</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(3649.0/B81*100)</f>
        <v/>
      </c>
      <c r="D81" s="19" t="n">
        <v>514</v>
      </c>
      <c r="E81" s="18" t="n">
        <v>53.89190119</v>
      </c>
      <c r="F81" s="20" t="n">
        <v>2.49709096</v>
      </c>
      <c r="G81" s="18" t="n">
        <v>45.83749453</v>
      </c>
      <c r="H81" s="20" t="n">
        <v>2.29353202</v>
      </c>
      <c r="I81" s="18" t="s">
        <v>349</v>
      </c>
      <c r="J81" s="20" t="s">
        <v>349</v>
      </c>
      <c r="K81" s="18" t="n">
        <v>0.01938076</v>
      </c>
      <c r="L81" s="20" t="n">
        <v>0.65726378</v>
      </c>
      <c r="M81" s="18" t="n">
        <v>0</v>
      </c>
      <c r="N81" s="20" t="n">
        <v>0</v>
      </c>
      <c r="O81" s="18" t="n">
        <v>0</v>
      </c>
      <c r="P81" s="20" t="n">
        <v>0</v>
      </c>
      <c r="Q81" s="18" t="n">
        <v>0.25122352</v>
      </c>
      <c r="R81" s="20" t="n">
        <v>0.24681907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(6482.0/B7*100)</f>
        <v/>
      </c>
      <c r="D7" s="19" t="n">
        <v>885</v>
      </c>
      <c r="E7" s="18" t="n">
        <v>0</v>
      </c>
      <c r="F7" s="20" t="n">
        <v>0</v>
      </c>
      <c r="G7" s="18" t="n">
        <v>0</v>
      </c>
      <c r="H7" s="20" t="n">
        <v>0</v>
      </c>
      <c r="I7" s="18" t="s">
        <v>349</v>
      </c>
      <c r="J7" s="20" t="s">
        <v>349</v>
      </c>
      <c r="K7" s="18" t="n">
        <v>0</v>
      </c>
      <c r="L7" s="20" t="n">
        <v>0</v>
      </c>
      <c r="M7" s="18" t="n">
        <v>100</v>
      </c>
      <c r="N7" s="20" t="n">
        <v>0</v>
      </c>
      <c r="O7" s="18" t="n">
        <v>0</v>
      </c>
      <c r="P7" s="20" t="n">
        <v>0</v>
      </c>
      <c r="Q7" s="18" t="n">
        <v>0</v>
      </c>
      <c r="R7" s="20" t="n">
        <v>0</v>
      </c>
    </row>
    <row r="8" spans="1:18">
      <c r="A8" s="15" t="s">
        <v>350</v>
      </c>
      <c r="B8" s="17" t="n">
        <v>3564</v>
      </c>
      <c r="C8" s="18">
        <f>(3127.0/B8*100)</f>
        <v/>
      </c>
      <c r="D8" s="19" t="n">
        <v>437</v>
      </c>
      <c r="E8" s="18" t="n">
        <v>0</v>
      </c>
      <c r="F8" s="20" t="n">
        <v>0</v>
      </c>
      <c r="G8" s="18" t="n">
        <v>0</v>
      </c>
      <c r="H8" s="20" t="n">
        <v>0</v>
      </c>
      <c r="I8" s="18" t="s">
        <v>349</v>
      </c>
      <c r="J8" s="20" t="s">
        <v>349</v>
      </c>
      <c r="K8" s="18" t="n">
        <v>0</v>
      </c>
      <c r="L8" s="20" t="n">
        <v>0</v>
      </c>
      <c r="M8" s="18" t="n">
        <v>100</v>
      </c>
      <c r="N8" s="20" t="n">
        <v>0</v>
      </c>
      <c r="O8" s="18" t="n">
        <v>0</v>
      </c>
      <c r="P8" s="20" t="n">
        <v>0</v>
      </c>
      <c r="Q8" s="18" t="n">
        <v>0</v>
      </c>
      <c r="R8" s="20" t="n">
        <v>0</v>
      </c>
    </row>
    <row r="9" spans="1:18">
      <c r="A9" s="15" t="s">
        <v>351</v>
      </c>
      <c r="B9" s="17" t="n">
        <v>4899</v>
      </c>
      <c r="C9" s="18">
        <f>(4298.0/B9*100)</f>
        <v/>
      </c>
      <c r="D9" s="19" t="n">
        <v>601</v>
      </c>
      <c r="E9" s="18" t="n">
        <v>0</v>
      </c>
      <c r="F9" s="20" t="n">
        <v>0</v>
      </c>
      <c r="G9" s="18" t="n">
        <v>0</v>
      </c>
      <c r="H9" s="20" t="n">
        <v>0</v>
      </c>
      <c r="I9" s="18" t="s">
        <v>349</v>
      </c>
      <c r="J9" s="20" t="s">
        <v>349</v>
      </c>
      <c r="K9" s="18" t="n">
        <v>0</v>
      </c>
      <c r="L9" s="20" t="n">
        <v>0</v>
      </c>
      <c r="M9" s="18" t="n">
        <v>100</v>
      </c>
      <c r="N9" s="20" t="n">
        <v>0</v>
      </c>
      <c r="O9" s="18" t="n">
        <v>0</v>
      </c>
      <c r="P9" s="20" t="n">
        <v>0</v>
      </c>
      <c r="Q9" s="18" t="n">
        <v>0</v>
      </c>
      <c r="R9" s="20" t="n">
        <v>0</v>
      </c>
    </row>
    <row r="10" spans="1:18">
      <c r="A10" s="15" t="s">
        <v>352</v>
      </c>
      <c r="B10" s="17" t="n">
        <v>10036</v>
      </c>
      <c r="C10" s="18">
        <f>(8787.0/B10*100)</f>
        <v/>
      </c>
      <c r="D10" s="19" t="n">
        <v>1249</v>
      </c>
      <c r="E10" s="18" t="n">
        <v>0</v>
      </c>
      <c r="F10" s="20" t="n">
        <v>0</v>
      </c>
      <c r="G10" s="18" t="n">
        <v>0</v>
      </c>
      <c r="H10" s="20" t="n">
        <v>0</v>
      </c>
      <c r="I10" s="18" t="s">
        <v>349</v>
      </c>
      <c r="J10" s="20" t="s">
        <v>349</v>
      </c>
      <c r="K10" s="18" t="n">
        <v>0</v>
      </c>
      <c r="L10" s="20" t="n">
        <v>0</v>
      </c>
      <c r="M10" s="18" t="n">
        <v>100</v>
      </c>
      <c r="N10" s="20" t="n">
        <v>0</v>
      </c>
      <c r="O10" s="18" t="n">
        <v>0</v>
      </c>
      <c r="P10" s="20" t="n">
        <v>0</v>
      </c>
      <c r="Q10" s="18" t="n">
        <v>0</v>
      </c>
      <c r="R10" s="20" t="n">
        <v>0</v>
      </c>
    </row>
    <row r="11" spans="1:18">
      <c r="A11" s="15" t="s">
        <v>353</v>
      </c>
      <c r="B11" s="17" t="n">
        <v>3553</v>
      </c>
      <c r="C11" s="18">
        <f>(3123.0/B11*100)</f>
        <v/>
      </c>
      <c r="D11" s="19" t="n">
        <v>430</v>
      </c>
      <c r="E11" s="18" t="n">
        <v>0</v>
      </c>
      <c r="F11" s="20" t="n">
        <v>0</v>
      </c>
      <c r="G11" s="18" t="n">
        <v>0</v>
      </c>
      <c r="H11" s="20" t="n">
        <v>0</v>
      </c>
      <c r="I11" s="18" t="s">
        <v>349</v>
      </c>
      <c r="J11" s="20" t="s">
        <v>349</v>
      </c>
      <c r="K11" s="18" t="n">
        <v>0</v>
      </c>
      <c r="L11" s="20" t="n">
        <v>0</v>
      </c>
      <c r="M11" s="18" t="n">
        <v>100</v>
      </c>
      <c r="N11" s="20" t="n">
        <v>0</v>
      </c>
      <c r="O11" s="18" t="n">
        <v>0</v>
      </c>
      <c r="P11" s="20" t="n">
        <v>0</v>
      </c>
      <c r="Q11" s="18" t="n">
        <v>0</v>
      </c>
      <c r="R11" s="20" t="n">
        <v>0</v>
      </c>
    </row>
    <row r="12" spans="1:18">
      <c r="A12" s="15" t="s">
        <v>354</v>
      </c>
      <c r="B12" s="17" t="n">
        <v>3472</v>
      </c>
      <c r="C12" s="18">
        <f>(3072.0/B12*100)</f>
        <v/>
      </c>
      <c r="D12" s="19" t="n">
        <v>400</v>
      </c>
      <c r="E12" s="18" t="n">
        <v>0</v>
      </c>
      <c r="F12" s="20" t="n">
        <v>0</v>
      </c>
      <c r="G12" s="18" t="n">
        <v>0</v>
      </c>
      <c r="H12" s="20" t="n">
        <v>0</v>
      </c>
      <c r="I12" s="18" t="s">
        <v>349</v>
      </c>
      <c r="J12" s="20" t="s">
        <v>349</v>
      </c>
      <c r="K12" s="18" t="n">
        <v>0</v>
      </c>
      <c r="L12" s="20" t="n">
        <v>0</v>
      </c>
      <c r="M12" s="18" t="n">
        <v>100</v>
      </c>
      <c r="N12" s="20" t="n">
        <v>0</v>
      </c>
      <c r="O12" s="18" t="n">
        <v>0</v>
      </c>
      <c r="P12" s="20" t="n">
        <v>0</v>
      </c>
      <c r="Q12" s="18" t="n">
        <v>0</v>
      </c>
      <c r="R12" s="20" t="n">
        <v>0</v>
      </c>
    </row>
    <row r="13" spans="1:18">
      <c r="A13" s="15" t="s">
        <v>355</v>
      </c>
      <c r="B13" s="17" t="n">
        <v>3559</v>
      </c>
      <c r="C13" s="18">
        <f>(3158.0/B13*100)</f>
        <v/>
      </c>
      <c r="D13" s="19" t="n">
        <v>401</v>
      </c>
      <c r="E13" s="18" t="n">
        <v>0</v>
      </c>
      <c r="F13" s="20" t="n">
        <v>0</v>
      </c>
      <c r="G13" s="18" t="n">
        <v>0</v>
      </c>
      <c r="H13" s="20" t="n">
        <v>0</v>
      </c>
      <c r="I13" s="18" t="s">
        <v>349</v>
      </c>
      <c r="J13" s="20" t="s">
        <v>349</v>
      </c>
      <c r="K13" s="18" t="n">
        <v>0</v>
      </c>
      <c r="L13" s="20" t="n">
        <v>0</v>
      </c>
      <c r="M13" s="18" t="n">
        <v>100</v>
      </c>
      <c r="N13" s="20" t="n">
        <v>0</v>
      </c>
      <c r="O13" s="18" t="n">
        <v>0</v>
      </c>
      <c r="P13" s="20" t="n">
        <v>0</v>
      </c>
      <c r="Q13" s="18" t="n">
        <v>0</v>
      </c>
      <c r="R13" s="20" t="n">
        <v>0</v>
      </c>
    </row>
    <row r="14" spans="1:18">
      <c r="A14" s="15" t="s">
        <v>356</v>
      </c>
      <c r="B14" s="17" t="n">
        <v>2799</v>
      </c>
      <c r="C14" s="18">
        <f>(2453.0/B14*100)</f>
        <v/>
      </c>
      <c r="D14" s="19" t="n">
        <v>346</v>
      </c>
      <c r="E14" s="18" t="n">
        <v>0</v>
      </c>
      <c r="F14" s="20" t="n">
        <v>0</v>
      </c>
      <c r="G14" s="18" t="n">
        <v>0</v>
      </c>
      <c r="H14" s="20" t="n">
        <v>0</v>
      </c>
      <c r="I14" s="18" t="s">
        <v>349</v>
      </c>
      <c r="J14" s="20" t="s">
        <v>349</v>
      </c>
      <c r="K14" s="18" t="n">
        <v>0</v>
      </c>
      <c r="L14" s="20" t="n">
        <v>0</v>
      </c>
      <c r="M14" s="18" t="n">
        <v>100</v>
      </c>
      <c r="N14" s="20" t="n">
        <v>0</v>
      </c>
      <c r="O14" s="18" t="n">
        <v>0</v>
      </c>
      <c r="P14" s="20" t="n">
        <v>0</v>
      </c>
      <c r="Q14" s="18" t="n">
        <v>0</v>
      </c>
      <c r="R14" s="20" t="n">
        <v>0</v>
      </c>
    </row>
    <row r="15" spans="1:18">
      <c r="A15" s="15" t="s">
        <v>357</v>
      </c>
      <c r="B15" s="17" t="n">
        <v>3019</v>
      </c>
      <c r="C15" s="18">
        <f>(2644.0/B15*100)</f>
        <v/>
      </c>
      <c r="D15" s="19" t="n">
        <v>375</v>
      </c>
      <c r="E15" s="18" t="n">
        <v>0</v>
      </c>
      <c r="F15" s="20" t="n">
        <v>0</v>
      </c>
      <c r="G15" s="18" t="n">
        <v>0</v>
      </c>
      <c r="H15" s="20" t="n">
        <v>0</v>
      </c>
      <c r="I15" s="18" t="s">
        <v>349</v>
      </c>
      <c r="J15" s="20" t="s">
        <v>349</v>
      </c>
      <c r="K15" s="18" t="n">
        <v>0</v>
      </c>
      <c r="L15" s="20" t="n">
        <v>0</v>
      </c>
      <c r="M15" s="18" t="n">
        <v>100</v>
      </c>
      <c r="N15" s="20" t="n">
        <v>0</v>
      </c>
      <c r="O15" s="18" t="n">
        <v>0</v>
      </c>
      <c r="P15" s="20" t="n">
        <v>0</v>
      </c>
      <c r="Q15" s="18" t="n">
        <v>0</v>
      </c>
      <c r="R15" s="20" t="n">
        <v>0</v>
      </c>
    </row>
    <row r="16" spans="1:18">
      <c r="A16" s="15" t="s">
        <v>358</v>
      </c>
      <c r="B16" s="17" t="n">
        <v>2997</v>
      </c>
      <c r="C16" s="18">
        <f>(2619.0/B16*100)</f>
        <v/>
      </c>
      <c r="D16" s="19" t="n">
        <v>378</v>
      </c>
      <c r="E16" s="18" t="n">
        <v>0</v>
      </c>
      <c r="F16" s="20" t="n">
        <v>0</v>
      </c>
      <c r="G16" s="18" t="n">
        <v>0</v>
      </c>
      <c r="H16" s="20" t="n">
        <v>0</v>
      </c>
      <c r="I16" s="18" t="s">
        <v>349</v>
      </c>
      <c r="J16" s="20" t="s">
        <v>349</v>
      </c>
      <c r="K16" s="18" t="n">
        <v>0</v>
      </c>
      <c r="L16" s="20" t="n">
        <v>0</v>
      </c>
      <c r="M16" s="18" t="n">
        <v>100</v>
      </c>
      <c r="N16" s="20" t="n">
        <v>0</v>
      </c>
      <c r="O16" s="18" t="n">
        <v>0</v>
      </c>
      <c r="P16" s="20" t="n">
        <v>0</v>
      </c>
      <c r="Q16" s="18" t="n">
        <v>0</v>
      </c>
      <c r="R16" s="20" t="n">
        <v>0</v>
      </c>
    </row>
    <row r="17" spans="1:18">
      <c r="A17" s="15" t="s">
        <v>359</v>
      </c>
      <c r="B17" s="17" t="n">
        <v>3307</v>
      </c>
      <c r="C17" s="18">
        <f>(2917.0/B17*100)</f>
        <v/>
      </c>
      <c r="D17" s="19" t="n">
        <v>390</v>
      </c>
      <c r="E17" s="18" t="n">
        <v>0</v>
      </c>
      <c r="F17" s="20" t="n">
        <v>0</v>
      </c>
      <c r="G17" s="18" t="n">
        <v>0</v>
      </c>
      <c r="H17" s="20" t="n">
        <v>0</v>
      </c>
      <c r="I17" s="18" t="s">
        <v>349</v>
      </c>
      <c r="J17" s="20" t="s">
        <v>349</v>
      </c>
      <c r="K17" s="18" t="n">
        <v>0</v>
      </c>
      <c r="L17" s="20" t="n">
        <v>0</v>
      </c>
      <c r="M17" s="18" t="n">
        <v>100</v>
      </c>
      <c r="N17" s="20" t="n">
        <v>0</v>
      </c>
      <c r="O17" s="18" t="n">
        <v>0</v>
      </c>
      <c r="P17" s="20" t="n">
        <v>0</v>
      </c>
      <c r="Q17" s="18" t="n">
        <v>0</v>
      </c>
      <c r="R17" s="20" t="n">
        <v>0</v>
      </c>
    </row>
    <row r="18" spans="1:18">
      <c r="A18" s="15" t="s">
        <v>360</v>
      </c>
      <c r="B18" s="17" t="n">
        <v>2826</v>
      </c>
      <c r="C18" s="18">
        <f>(2499.0/B18*100)</f>
        <v/>
      </c>
      <c r="D18" s="19" t="n">
        <v>327</v>
      </c>
      <c r="E18" s="18" t="n">
        <v>0</v>
      </c>
      <c r="F18" s="20" t="n">
        <v>0</v>
      </c>
      <c r="G18" s="18" t="n">
        <v>0</v>
      </c>
      <c r="H18" s="20" t="n">
        <v>0</v>
      </c>
      <c r="I18" s="18" t="s">
        <v>349</v>
      </c>
      <c r="J18" s="20" t="s">
        <v>349</v>
      </c>
      <c r="K18" s="18" t="n">
        <v>0</v>
      </c>
      <c r="L18" s="20" t="n">
        <v>0</v>
      </c>
      <c r="M18" s="18" t="n">
        <v>100</v>
      </c>
      <c r="N18" s="20" t="n">
        <v>0</v>
      </c>
      <c r="O18" s="18" t="n">
        <v>0</v>
      </c>
      <c r="P18" s="20" t="n">
        <v>0</v>
      </c>
      <c r="Q18" s="18" t="n">
        <v>0</v>
      </c>
      <c r="R18" s="20" t="n">
        <v>0</v>
      </c>
    </row>
    <row r="19" spans="1:18">
      <c r="A19" s="15" t="s">
        <v>361</v>
      </c>
      <c r="B19" s="17" t="n">
        <v>2808</v>
      </c>
      <c r="C19" s="18">
        <f>(2465.0/B19*100)</f>
        <v/>
      </c>
      <c r="D19" s="19" t="n">
        <v>343</v>
      </c>
      <c r="E19" s="18" t="n">
        <v>0</v>
      </c>
      <c r="F19" s="20" t="n">
        <v>0</v>
      </c>
      <c r="G19" s="18" t="n">
        <v>0</v>
      </c>
      <c r="H19" s="20" t="n">
        <v>0</v>
      </c>
      <c r="I19" s="18" t="s">
        <v>349</v>
      </c>
      <c r="J19" s="20" t="s">
        <v>349</v>
      </c>
      <c r="K19" s="18" t="n">
        <v>0</v>
      </c>
      <c r="L19" s="20" t="n">
        <v>0</v>
      </c>
      <c r="M19" s="18" t="n">
        <v>100</v>
      </c>
      <c r="N19" s="20" t="n">
        <v>0</v>
      </c>
      <c r="O19" s="18" t="n">
        <v>0</v>
      </c>
      <c r="P19" s="20" t="n">
        <v>0</v>
      </c>
      <c r="Q19" s="18" t="n">
        <v>0</v>
      </c>
      <c r="R19" s="20" t="n">
        <v>0</v>
      </c>
    </row>
    <row r="20" spans="1:18">
      <c r="A20" s="15" t="s">
        <v>362</v>
      </c>
      <c r="B20" s="17" t="n">
        <v>1630</v>
      </c>
      <c r="C20" s="18">
        <f>(1425.0/B20*100)</f>
        <v/>
      </c>
      <c r="D20" s="19" t="n">
        <v>205</v>
      </c>
      <c r="E20" s="18" t="n">
        <v>0</v>
      </c>
      <c r="F20" s="20" t="n">
        <v>0</v>
      </c>
      <c r="G20" s="18" t="n">
        <v>0</v>
      </c>
      <c r="H20" s="20" t="n">
        <v>0</v>
      </c>
      <c r="I20" s="18" t="s">
        <v>349</v>
      </c>
      <c r="J20" s="20" t="s">
        <v>349</v>
      </c>
      <c r="K20" s="18" t="n">
        <v>0</v>
      </c>
      <c r="L20" s="20" t="n">
        <v>0</v>
      </c>
      <c r="M20" s="18" t="n">
        <v>100</v>
      </c>
      <c r="N20" s="20" t="n">
        <v>0</v>
      </c>
      <c r="O20" s="18" t="n">
        <v>0</v>
      </c>
      <c r="P20" s="20" t="n">
        <v>0</v>
      </c>
      <c r="Q20" s="18" t="n">
        <v>0</v>
      </c>
      <c r="R20" s="20" t="n">
        <v>0</v>
      </c>
    </row>
    <row r="21" spans="1:18">
      <c r="A21" s="15" t="s">
        <v>363</v>
      </c>
      <c r="B21" s="17" t="n">
        <v>2908</v>
      </c>
      <c r="C21" s="18">
        <f>(2436.0/B21*100)</f>
        <v/>
      </c>
      <c r="D21" s="19" t="n">
        <v>472</v>
      </c>
      <c r="E21" s="18" t="n">
        <v>0</v>
      </c>
      <c r="F21" s="20" t="n">
        <v>0</v>
      </c>
      <c r="G21" s="18" t="n">
        <v>0</v>
      </c>
      <c r="H21" s="20" t="n">
        <v>0</v>
      </c>
      <c r="I21" s="18" t="s">
        <v>349</v>
      </c>
      <c r="J21" s="20" t="s">
        <v>349</v>
      </c>
      <c r="K21" s="18" t="n">
        <v>0</v>
      </c>
      <c r="L21" s="20" t="n">
        <v>0</v>
      </c>
      <c r="M21" s="18" t="n">
        <v>100</v>
      </c>
      <c r="N21" s="20" t="n">
        <v>0</v>
      </c>
      <c r="O21" s="18" t="n">
        <v>0</v>
      </c>
      <c r="P21" s="20" t="n">
        <v>0</v>
      </c>
      <c r="Q21" s="18" t="n">
        <v>0</v>
      </c>
      <c r="R21" s="20" t="n">
        <v>0</v>
      </c>
    </row>
    <row r="22" spans="1:18">
      <c r="A22" s="15" t="s">
        <v>364</v>
      </c>
      <c r="B22" s="17" t="n">
        <v>2931</v>
      </c>
      <c r="C22" s="18">
        <f>(2552.0/B22*100)</f>
        <v/>
      </c>
      <c r="D22" s="19" t="n">
        <v>379</v>
      </c>
      <c r="E22" s="18" t="n">
        <v>0</v>
      </c>
      <c r="F22" s="20" t="n">
        <v>0</v>
      </c>
      <c r="G22" s="18" t="n">
        <v>0</v>
      </c>
      <c r="H22" s="20" t="n">
        <v>0</v>
      </c>
      <c r="I22" s="18" t="s">
        <v>349</v>
      </c>
      <c r="J22" s="20" t="s">
        <v>349</v>
      </c>
      <c r="K22" s="18" t="n">
        <v>0</v>
      </c>
      <c r="L22" s="20" t="n">
        <v>0</v>
      </c>
      <c r="M22" s="18" t="n">
        <v>100</v>
      </c>
      <c r="N22" s="20" t="n">
        <v>0</v>
      </c>
      <c r="O22" s="18" t="n">
        <v>0</v>
      </c>
      <c r="P22" s="20" t="n">
        <v>0</v>
      </c>
      <c r="Q22" s="18" t="n">
        <v>0</v>
      </c>
      <c r="R22" s="20" t="n">
        <v>0</v>
      </c>
    </row>
    <row r="23" spans="1:18">
      <c r="A23" s="15" t="s">
        <v>365</v>
      </c>
      <c r="B23" s="17" t="n">
        <v>5791</v>
      </c>
      <c r="C23" s="18">
        <f>(5089.0/B23*100)</f>
        <v/>
      </c>
      <c r="D23" s="19" t="n">
        <v>702</v>
      </c>
      <c r="E23" s="18" t="n">
        <v>0</v>
      </c>
      <c r="F23" s="20" t="n">
        <v>0</v>
      </c>
      <c r="G23" s="18" t="n">
        <v>0</v>
      </c>
      <c r="H23" s="20" t="n">
        <v>0</v>
      </c>
      <c r="I23" s="18" t="s">
        <v>349</v>
      </c>
      <c r="J23" s="20" t="s">
        <v>349</v>
      </c>
      <c r="K23" s="18" t="n">
        <v>0</v>
      </c>
      <c r="L23" s="20" t="n">
        <v>0</v>
      </c>
      <c r="M23" s="18" t="n">
        <v>100</v>
      </c>
      <c r="N23" s="20" t="n">
        <v>0</v>
      </c>
      <c r="O23" s="18" t="n">
        <v>0</v>
      </c>
      <c r="P23" s="20" t="n">
        <v>0</v>
      </c>
      <c r="Q23" s="18" t="n">
        <v>0</v>
      </c>
      <c r="R23" s="20" t="n">
        <v>0</v>
      </c>
    </row>
    <row r="24" spans="1:18">
      <c r="A24" s="15" t="s">
        <v>366</v>
      </c>
      <c r="B24" s="17" t="n">
        <v>3338</v>
      </c>
      <c r="C24" s="18">
        <f>(2906.0/B24*100)</f>
        <v/>
      </c>
      <c r="D24" s="19" t="n">
        <v>432</v>
      </c>
      <c r="E24" s="18" t="n">
        <v>0</v>
      </c>
      <c r="F24" s="20" t="n">
        <v>0</v>
      </c>
      <c r="G24" s="18" t="n">
        <v>0</v>
      </c>
      <c r="H24" s="20" t="n">
        <v>0</v>
      </c>
      <c r="I24" s="18" t="s">
        <v>349</v>
      </c>
      <c r="J24" s="20" t="s">
        <v>349</v>
      </c>
      <c r="K24" s="18" t="n">
        <v>0</v>
      </c>
      <c r="L24" s="20" t="n">
        <v>0</v>
      </c>
      <c r="M24" s="18" t="n">
        <v>100</v>
      </c>
      <c r="N24" s="20" t="n">
        <v>0</v>
      </c>
      <c r="O24" s="18" t="n">
        <v>0</v>
      </c>
      <c r="P24" s="20" t="n">
        <v>0</v>
      </c>
      <c r="Q24" s="18" t="n">
        <v>0</v>
      </c>
      <c r="R24" s="20" t="n">
        <v>0</v>
      </c>
    </row>
    <row r="25" spans="1:18">
      <c r="A25" s="15" t="s">
        <v>367</v>
      </c>
      <c r="B25" s="17" t="n">
        <v>2912</v>
      </c>
      <c r="C25" s="18">
        <f>(2563.0/B25*100)</f>
        <v/>
      </c>
      <c r="D25" s="19" t="n">
        <v>349</v>
      </c>
      <c r="E25" s="18" t="n">
        <v>0</v>
      </c>
      <c r="F25" s="20" t="n">
        <v>0</v>
      </c>
      <c r="G25" s="18" t="n">
        <v>0</v>
      </c>
      <c r="H25" s="20" t="n">
        <v>0</v>
      </c>
      <c r="I25" s="18" t="s">
        <v>349</v>
      </c>
      <c r="J25" s="20" t="s">
        <v>349</v>
      </c>
      <c r="K25" s="18" t="n">
        <v>0</v>
      </c>
      <c r="L25" s="20" t="n">
        <v>0</v>
      </c>
      <c r="M25" s="18" t="n">
        <v>100</v>
      </c>
      <c r="N25" s="20" t="n">
        <v>0</v>
      </c>
      <c r="O25" s="18" t="n">
        <v>0</v>
      </c>
      <c r="P25" s="20" t="n">
        <v>0</v>
      </c>
      <c r="Q25" s="18" t="n">
        <v>0</v>
      </c>
      <c r="R25" s="20" t="n">
        <v>0</v>
      </c>
    </row>
    <row r="26" spans="1:18">
      <c r="A26" s="15" t="s">
        <v>368</v>
      </c>
      <c r="B26" s="17" t="n">
        <v>2450</v>
      </c>
      <c r="C26" s="18">
        <f>(2161.0/B26*100)</f>
        <v/>
      </c>
      <c r="D26" s="19" t="n">
        <v>289</v>
      </c>
      <c r="E26" s="18" t="n">
        <v>0</v>
      </c>
      <c r="F26" s="20" t="n">
        <v>0</v>
      </c>
      <c r="G26" s="18" t="n">
        <v>0</v>
      </c>
      <c r="H26" s="20" t="n">
        <v>0</v>
      </c>
      <c r="I26" s="18" t="s">
        <v>349</v>
      </c>
      <c r="J26" s="20" t="s">
        <v>349</v>
      </c>
      <c r="K26" s="18" t="n">
        <v>0</v>
      </c>
      <c r="L26" s="20" t="n">
        <v>0</v>
      </c>
      <c r="M26" s="18" t="n">
        <v>100</v>
      </c>
      <c r="N26" s="20" t="n">
        <v>0</v>
      </c>
      <c r="O26" s="18" t="n">
        <v>0</v>
      </c>
      <c r="P26" s="20" t="n">
        <v>0</v>
      </c>
      <c r="Q26" s="18" t="n">
        <v>0</v>
      </c>
      <c r="R26" s="20" t="n">
        <v>0</v>
      </c>
    </row>
    <row r="27" spans="1:18">
      <c r="A27" s="15" t="s">
        <v>369</v>
      </c>
      <c r="B27" s="17" t="n">
        <v>2616</v>
      </c>
      <c r="C27" s="18">
        <f>(2288.0/B27*100)</f>
        <v/>
      </c>
      <c r="D27" s="19" t="n">
        <v>328</v>
      </c>
      <c r="E27" s="18" t="n">
        <v>0</v>
      </c>
      <c r="F27" s="20" t="n">
        <v>0</v>
      </c>
      <c r="G27" s="18" t="n">
        <v>0</v>
      </c>
      <c r="H27" s="20" t="n">
        <v>0</v>
      </c>
      <c r="I27" s="18" t="s">
        <v>349</v>
      </c>
      <c r="J27" s="20" t="s">
        <v>349</v>
      </c>
      <c r="K27" s="18" t="n">
        <v>0</v>
      </c>
      <c r="L27" s="20" t="n">
        <v>0</v>
      </c>
      <c r="M27" s="18" t="n">
        <v>100</v>
      </c>
      <c r="N27" s="20" t="n">
        <v>0</v>
      </c>
      <c r="O27" s="18" t="n">
        <v>0</v>
      </c>
      <c r="P27" s="20" t="n">
        <v>0</v>
      </c>
      <c r="Q27" s="18" t="n">
        <v>0</v>
      </c>
      <c r="R27" s="20" t="n">
        <v>0</v>
      </c>
    </row>
    <row r="28" spans="1:18">
      <c r="A28" s="15" t="s">
        <v>370</v>
      </c>
      <c r="B28" s="17" t="n">
        <v>3765</v>
      </c>
      <c r="C28" s="18">
        <f>(3347.0/B28*100)</f>
        <v/>
      </c>
      <c r="D28" s="19" t="n">
        <v>418</v>
      </c>
      <c r="E28" s="18" t="n">
        <v>0</v>
      </c>
      <c r="F28" s="20" t="n">
        <v>0</v>
      </c>
      <c r="G28" s="18" t="n">
        <v>0</v>
      </c>
      <c r="H28" s="20" t="n">
        <v>0</v>
      </c>
      <c r="I28" s="18" t="s">
        <v>349</v>
      </c>
      <c r="J28" s="20" t="s">
        <v>349</v>
      </c>
      <c r="K28" s="18" t="n">
        <v>0</v>
      </c>
      <c r="L28" s="20" t="n">
        <v>0</v>
      </c>
      <c r="M28" s="18" t="n">
        <v>100</v>
      </c>
      <c r="N28" s="20" t="n">
        <v>0</v>
      </c>
      <c r="O28" s="18" t="n">
        <v>0</v>
      </c>
      <c r="P28" s="20" t="n">
        <v>0</v>
      </c>
      <c r="Q28" s="18" t="n">
        <v>0</v>
      </c>
      <c r="R28" s="20" t="n">
        <v>0</v>
      </c>
    </row>
    <row r="29" spans="1:18">
      <c r="A29" s="15" t="s">
        <v>371</v>
      </c>
      <c r="B29" s="17" t="n">
        <v>2685</v>
      </c>
      <c r="C29" s="18">
        <f>(2388.0/B29*100)</f>
        <v/>
      </c>
      <c r="D29" s="19" t="n">
        <v>297</v>
      </c>
      <c r="E29" s="18" t="n">
        <v>0</v>
      </c>
      <c r="F29" s="20" t="n">
        <v>0</v>
      </c>
      <c r="G29" s="18" t="n">
        <v>0</v>
      </c>
      <c r="H29" s="20" t="n">
        <v>0</v>
      </c>
      <c r="I29" s="18" t="s">
        <v>349</v>
      </c>
      <c r="J29" s="20" t="s">
        <v>349</v>
      </c>
      <c r="K29" s="18" t="n">
        <v>0</v>
      </c>
      <c r="L29" s="20" t="n">
        <v>0</v>
      </c>
      <c r="M29" s="18" t="n">
        <v>100</v>
      </c>
      <c r="N29" s="20" t="n">
        <v>0</v>
      </c>
      <c r="O29" s="18" t="n">
        <v>0</v>
      </c>
      <c r="P29" s="20" t="n">
        <v>0</v>
      </c>
      <c r="Q29" s="18" t="n">
        <v>0</v>
      </c>
      <c r="R29" s="20" t="n">
        <v>0</v>
      </c>
    </row>
    <row r="30" spans="1:18">
      <c r="A30" s="15" t="s">
        <v>372</v>
      </c>
      <c r="B30" s="17" t="n">
        <v>2263</v>
      </c>
      <c r="C30" s="18">
        <f>(1980.0/B30*100)</f>
        <v/>
      </c>
      <c r="D30" s="19" t="n">
        <v>283</v>
      </c>
      <c r="E30" s="18" t="n">
        <v>0</v>
      </c>
      <c r="F30" s="20" t="n">
        <v>0</v>
      </c>
      <c r="G30" s="18" t="n">
        <v>0</v>
      </c>
      <c r="H30" s="20" t="n">
        <v>0</v>
      </c>
      <c r="I30" s="18" t="s">
        <v>349</v>
      </c>
      <c r="J30" s="20" t="s">
        <v>349</v>
      </c>
      <c r="K30" s="18" t="n">
        <v>0</v>
      </c>
      <c r="L30" s="20" t="n">
        <v>0</v>
      </c>
      <c r="M30" s="18" t="n">
        <v>100</v>
      </c>
      <c r="N30" s="20" t="n">
        <v>0</v>
      </c>
      <c r="O30" s="18" t="n">
        <v>0</v>
      </c>
      <c r="P30" s="20" t="n">
        <v>0</v>
      </c>
      <c r="Q30" s="18" t="n">
        <v>0</v>
      </c>
      <c r="R30" s="20" t="n">
        <v>0</v>
      </c>
    </row>
    <row r="31" spans="1:18">
      <c r="A31" s="15" t="s">
        <v>373</v>
      </c>
      <c r="B31" s="17" t="n">
        <v>2750</v>
      </c>
      <c r="C31" s="18">
        <f>(2410.0/B31*100)</f>
        <v/>
      </c>
      <c r="D31" s="19" t="n">
        <v>340</v>
      </c>
      <c r="E31" s="18" t="n">
        <v>0</v>
      </c>
      <c r="F31" s="20" t="n">
        <v>0</v>
      </c>
      <c r="G31" s="18" t="n">
        <v>0</v>
      </c>
      <c r="H31" s="20" t="n">
        <v>0</v>
      </c>
      <c r="I31" s="18" t="s">
        <v>349</v>
      </c>
      <c r="J31" s="20" t="s">
        <v>349</v>
      </c>
      <c r="K31" s="18" t="n">
        <v>0</v>
      </c>
      <c r="L31" s="20" t="n">
        <v>0</v>
      </c>
      <c r="M31" s="18" t="n">
        <v>100</v>
      </c>
      <c r="N31" s="20" t="n">
        <v>0</v>
      </c>
      <c r="O31" s="18" t="n">
        <v>0</v>
      </c>
      <c r="P31" s="20" t="n">
        <v>0</v>
      </c>
      <c r="Q31" s="18" t="n">
        <v>0</v>
      </c>
      <c r="R31" s="20" t="n">
        <v>0</v>
      </c>
    </row>
    <row r="32" spans="1:18">
      <c r="A32" s="15" t="s">
        <v>374</v>
      </c>
      <c r="B32" s="17" t="n">
        <v>2269</v>
      </c>
      <c r="C32" s="18">
        <f>(1872.0/B32*100)</f>
        <v/>
      </c>
      <c r="D32" s="19" t="n">
        <v>397</v>
      </c>
      <c r="E32" s="18" t="n">
        <v>0</v>
      </c>
      <c r="F32" s="20" t="n">
        <v>0</v>
      </c>
      <c r="G32" s="18" t="n">
        <v>0</v>
      </c>
      <c r="H32" s="20" t="n">
        <v>0</v>
      </c>
      <c r="I32" s="18" t="s">
        <v>349</v>
      </c>
      <c r="J32" s="20" t="s">
        <v>349</v>
      </c>
      <c r="K32" s="18" t="n">
        <v>0</v>
      </c>
      <c r="L32" s="20" t="n">
        <v>0</v>
      </c>
      <c r="M32" s="18" t="n">
        <v>100</v>
      </c>
      <c r="N32" s="20" t="n">
        <v>0</v>
      </c>
      <c r="O32" s="18" t="n">
        <v>0</v>
      </c>
      <c r="P32" s="20" t="n">
        <v>0</v>
      </c>
      <c r="Q32" s="18" t="n">
        <v>0</v>
      </c>
      <c r="R32" s="20" t="n">
        <v>0</v>
      </c>
    </row>
    <row r="33" spans="1:18">
      <c r="A33" s="15" t="s">
        <v>375</v>
      </c>
      <c r="B33" s="17" t="n">
        <v>3674</v>
      </c>
      <c r="C33" s="18">
        <f>(3234.0/B33*100)</f>
        <v/>
      </c>
      <c r="D33" s="19" t="n">
        <v>440</v>
      </c>
      <c r="E33" s="18" t="n">
        <v>0</v>
      </c>
      <c r="F33" s="20" t="n">
        <v>0</v>
      </c>
      <c r="G33" s="18" t="n">
        <v>0</v>
      </c>
      <c r="H33" s="20" t="n">
        <v>0</v>
      </c>
      <c r="I33" s="18" t="s">
        <v>349</v>
      </c>
      <c r="J33" s="20" t="s">
        <v>349</v>
      </c>
      <c r="K33" s="18" t="n">
        <v>0</v>
      </c>
      <c r="L33" s="20" t="n">
        <v>0</v>
      </c>
      <c r="M33" s="18" t="n">
        <v>100</v>
      </c>
      <c r="N33" s="20" t="n">
        <v>0</v>
      </c>
      <c r="O33" s="18" t="n">
        <v>0</v>
      </c>
      <c r="P33" s="20" t="n">
        <v>0</v>
      </c>
      <c r="Q33" s="18" t="n">
        <v>0</v>
      </c>
      <c r="R33" s="20" t="n">
        <v>0</v>
      </c>
    </row>
    <row r="34" spans="1:18">
      <c r="A34" s="15" t="s">
        <v>376</v>
      </c>
      <c r="B34" s="17" t="n">
        <v>3315</v>
      </c>
      <c r="C34" s="18">
        <f>(2901.0/B34*100)</f>
        <v/>
      </c>
      <c r="D34" s="19" t="n">
        <v>414</v>
      </c>
      <c r="E34" s="18" t="n">
        <v>0</v>
      </c>
      <c r="F34" s="20" t="n">
        <v>0</v>
      </c>
      <c r="G34" s="18" t="n">
        <v>0</v>
      </c>
      <c r="H34" s="20" t="n">
        <v>0</v>
      </c>
      <c r="I34" s="18" t="s">
        <v>349</v>
      </c>
      <c r="J34" s="20" t="s">
        <v>349</v>
      </c>
      <c r="K34" s="18" t="n">
        <v>0</v>
      </c>
      <c r="L34" s="20" t="n">
        <v>0</v>
      </c>
      <c r="M34" s="18" t="n">
        <v>100</v>
      </c>
      <c r="N34" s="20" t="n">
        <v>0</v>
      </c>
      <c r="O34" s="18" t="n">
        <v>0</v>
      </c>
      <c r="P34" s="20" t="n">
        <v>0</v>
      </c>
      <c r="Q34" s="18" t="n">
        <v>0</v>
      </c>
      <c r="R34" s="20" t="n">
        <v>0</v>
      </c>
    </row>
    <row r="35" spans="1:18">
      <c r="A35" s="15" t="s">
        <v>377</v>
      </c>
      <c r="B35" s="17" t="n">
        <v>3505</v>
      </c>
      <c r="C35" s="18">
        <f>(3061.0/B35*100)</f>
        <v/>
      </c>
      <c r="D35" s="19" t="n">
        <v>444</v>
      </c>
      <c r="E35" s="18" t="n">
        <v>0</v>
      </c>
      <c r="F35" s="20" t="n">
        <v>0</v>
      </c>
      <c r="G35" s="18" t="n">
        <v>0</v>
      </c>
      <c r="H35" s="20" t="n">
        <v>0</v>
      </c>
      <c r="I35" s="18" t="s">
        <v>349</v>
      </c>
      <c r="J35" s="20" t="s">
        <v>349</v>
      </c>
      <c r="K35" s="18" t="n">
        <v>0</v>
      </c>
      <c r="L35" s="20" t="n">
        <v>0</v>
      </c>
      <c r="M35" s="18" t="n">
        <v>100</v>
      </c>
      <c r="N35" s="20" t="n">
        <v>0</v>
      </c>
      <c r="O35" s="18" t="n">
        <v>0</v>
      </c>
      <c r="P35" s="20" t="n">
        <v>0</v>
      </c>
      <c r="Q35" s="18" t="n">
        <v>0</v>
      </c>
      <c r="R35" s="20" t="n">
        <v>0</v>
      </c>
    </row>
    <row r="36" spans="1:18">
      <c r="A36" s="15" t="s">
        <v>378</v>
      </c>
      <c r="B36" s="17" t="n">
        <v>3332</v>
      </c>
      <c r="C36" s="18">
        <f>(2919.0/B36*100)</f>
        <v/>
      </c>
      <c r="D36" s="19" t="n">
        <v>413</v>
      </c>
      <c r="E36" s="18" t="n">
        <v>0</v>
      </c>
      <c r="F36" s="20" t="n">
        <v>0</v>
      </c>
      <c r="G36" s="18" t="n">
        <v>0</v>
      </c>
      <c r="H36" s="20" t="n">
        <v>0</v>
      </c>
      <c r="I36" s="18" t="s">
        <v>349</v>
      </c>
      <c r="J36" s="20" t="s">
        <v>349</v>
      </c>
      <c r="K36" s="18" t="n">
        <v>0</v>
      </c>
      <c r="L36" s="20" t="n">
        <v>0</v>
      </c>
      <c r="M36" s="18" t="n">
        <v>100</v>
      </c>
      <c r="N36" s="20" t="n">
        <v>0</v>
      </c>
      <c r="O36" s="18" t="n">
        <v>0</v>
      </c>
      <c r="P36" s="20" t="n">
        <v>0</v>
      </c>
      <c r="Q36" s="18" t="n">
        <v>0</v>
      </c>
      <c r="R36" s="20" t="n">
        <v>0</v>
      </c>
    </row>
    <row r="37" spans="1:18">
      <c r="A37" s="15" t="s">
        <v>379</v>
      </c>
      <c r="B37" s="17" t="n">
        <v>2727</v>
      </c>
      <c r="C37" s="18">
        <f>(2400.0/B37*100)</f>
        <v/>
      </c>
      <c r="D37" s="19" t="n">
        <v>327</v>
      </c>
      <c r="E37" s="18" t="n">
        <v>0</v>
      </c>
      <c r="F37" s="20" t="n">
        <v>0</v>
      </c>
      <c r="G37" s="18" t="n">
        <v>0</v>
      </c>
      <c r="H37" s="20" t="n">
        <v>0</v>
      </c>
      <c r="I37" s="18" t="s">
        <v>349</v>
      </c>
      <c r="J37" s="20" t="s">
        <v>349</v>
      </c>
      <c r="K37" s="18" t="n">
        <v>0</v>
      </c>
      <c r="L37" s="20" t="n">
        <v>0</v>
      </c>
      <c r="M37" s="18" t="n">
        <v>100</v>
      </c>
      <c r="N37" s="20" t="n">
        <v>0</v>
      </c>
      <c r="O37" s="18" t="n">
        <v>0</v>
      </c>
      <c r="P37" s="20" t="n">
        <v>0</v>
      </c>
      <c r="Q37" s="18" t="n">
        <v>0</v>
      </c>
      <c r="R37" s="20" t="n">
        <v>0</v>
      </c>
    </row>
    <row r="38" spans="1:18">
      <c r="A38" s="15" t="s">
        <v>380</v>
      </c>
      <c r="B38" s="17" t="n">
        <v>3053</v>
      </c>
      <c r="C38" s="18">
        <f>(2585.0/B38*100)</f>
        <v/>
      </c>
      <c r="D38" s="19" t="n">
        <v>468</v>
      </c>
      <c r="E38" s="18" t="n">
        <v>0</v>
      </c>
      <c r="F38" s="20" t="n">
        <v>0</v>
      </c>
      <c r="G38" s="18" t="n">
        <v>0</v>
      </c>
      <c r="H38" s="20" t="n">
        <v>0</v>
      </c>
      <c r="I38" s="18" t="s">
        <v>349</v>
      </c>
      <c r="J38" s="20" t="s">
        <v>349</v>
      </c>
      <c r="K38" s="18" t="n">
        <v>0</v>
      </c>
      <c r="L38" s="20" t="n">
        <v>0</v>
      </c>
      <c r="M38" s="18" t="n">
        <v>100</v>
      </c>
      <c r="N38" s="20" t="n">
        <v>0</v>
      </c>
      <c r="O38" s="18" t="n">
        <v>0</v>
      </c>
      <c r="P38" s="20" t="n">
        <v>0</v>
      </c>
      <c r="Q38" s="18" t="n">
        <v>0</v>
      </c>
      <c r="R38" s="20" t="n">
        <v>0</v>
      </c>
    </row>
    <row r="39" spans="1:18">
      <c r="A39" s="15" t="s">
        <v>381</v>
      </c>
      <c r="B39" s="17" t="n">
        <v>2957</v>
      </c>
      <c r="C39" s="18">
        <f>(2593.0/B39*100)</f>
        <v/>
      </c>
      <c r="D39" s="19" t="n">
        <v>364</v>
      </c>
      <c r="E39" s="18" t="n">
        <v>0</v>
      </c>
      <c r="F39" s="20" t="n">
        <v>0</v>
      </c>
      <c r="G39" s="18" t="n">
        <v>0</v>
      </c>
      <c r="H39" s="20" t="n">
        <v>0</v>
      </c>
      <c r="I39" s="18" t="s">
        <v>349</v>
      </c>
      <c r="J39" s="20" t="s">
        <v>349</v>
      </c>
      <c r="K39" s="18" t="n">
        <v>0</v>
      </c>
      <c r="L39" s="20" t="n">
        <v>0</v>
      </c>
      <c r="M39" s="18" t="n">
        <v>100</v>
      </c>
      <c r="N39" s="20" t="n">
        <v>0</v>
      </c>
      <c r="O39" s="18" t="n">
        <v>0</v>
      </c>
      <c r="P39" s="20" t="n">
        <v>0</v>
      </c>
      <c r="Q39" s="18" t="n">
        <v>0</v>
      </c>
      <c r="R39" s="20" t="n">
        <v>0</v>
      </c>
    </row>
    <row r="40" spans="1:18">
      <c r="A40" s="15" t="s">
        <v>382</v>
      </c>
      <c r="B40" s="17" t="n">
        <v>7235</v>
      </c>
      <c r="C40" s="18">
        <f>(6332.0/B40*100)</f>
        <v/>
      </c>
      <c r="D40" s="19" t="n">
        <v>903</v>
      </c>
      <c r="E40" s="18" t="n">
        <v>0</v>
      </c>
      <c r="F40" s="20" t="n">
        <v>0</v>
      </c>
      <c r="G40" s="18" t="n">
        <v>0</v>
      </c>
      <c r="H40" s="20" t="n">
        <v>0</v>
      </c>
      <c r="I40" s="18" t="s">
        <v>349</v>
      </c>
      <c r="J40" s="20" t="s">
        <v>349</v>
      </c>
      <c r="K40" s="18" t="n">
        <v>0</v>
      </c>
      <c r="L40" s="20" t="n">
        <v>0</v>
      </c>
      <c r="M40" s="18" t="n">
        <v>100</v>
      </c>
      <c r="N40" s="20" t="n">
        <v>0</v>
      </c>
      <c r="O40" s="18" t="n">
        <v>0</v>
      </c>
      <c r="P40" s="20" t="n">
        <v>0</v>
      </c>
      <c r="Q40" s="18" t="n">
        <v>0</v>
      </c>
      <c r="R40" s="20" t="n">
        <v>0</v>
      </c>
    </row>
    <row r="41" spans="1:18">
      <c r="A41" s="15" t="s">
        <v>383</v>
      </c>
      <c r="B41" s="17" t="n">
        <v>2858</v>
      </c>
      <c r="C41" s="18">
        <f>(2509.0/B41*100)</f>
        <v/>
      </c>
      <c r="D41" s="19" t="n">
        <v>349</v>
      </c>
      <c r="E41" s="18" t="n">
        <v>0</v>
      </c>
      <c r="F41" s="20" t="n">
        <v>0</v>
      </c>
      <c r="G41" s="18" t="n">
        <v>0</v>
      </c>
      <c r="H41" s="20" t="n">
        <v>0</v>
      </c>
      <c r="I41" s="18" t="s">
        <v>349</v>
      </c>
      <c r="J41" s="20" t="s">
        <v>349</v>
      </c>
      <c r="K41" s="18" t="n">
        <v>0</v>
      </c>
      <c r="L41" s="20" t="n">
        <v>0</v>
      </c>
      <c r="M41" s="18" t="n">
        <v>100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(9818.0/B46*100)</f>
        <v/>
      </c>
      <c r="D46" s="19" t="n">
        <v>1250</v>
      </c>
      <c r="E46" s="18" t="n">
        <v>0</v>
      </c>
      <c r="F46" s="20" t="n">
        <v>0</v>
      </c>
      <c r="G46" s="18" t="n">
        <v>0</v>
      </c>
      <c r="H46" s="20" t="n">
        <v>0</v>
      </c>
      <c r="I46" s="18" t="s">
        <v>349</v>
      </c>
      <c r="J46" s="20" t="s">
        <v>349</v>
      </c>
      <c r="K46" s="18" t="n">
        <v>0</v>
      </c>
      <c r="L46" s="20" t="n">
        <v>0</v>
      </c>
      <c r="M46" s="18" t="n">
        <v>100</v>
      </c>
      <c r="N46" s="20" t="n">
        <v>0</v>
      </c>
      <c r="O46" s="18" t="n">
        <v>0</v>
      </c>
      <c r="P46" s="20" t="n">
        <v>0</v>
      </c>
      <c r="Q46" s="18" t="n">
        <v>0</v>
      </c>
      <c r="R46" s="20" t="n">
        <v>0</v>
      </c>
    </row>
    <row r="47" spans="1:18">
      <c r="A47" s="15" t="s">
        <v>389</v>
      </c>
      <c r="B47" s="17" t="n">
        <v>3105</v>
      </c>
      <c r="C47" s="18">
        <f>(2725.0/B47*100)</f>
        <v/>
      </c>
      <c r="D47" s="19" t="n">
        <v>380</v>
      </c>
      <c r="E47" s="18" t="n">
        <v>0</v>
      </c>
      <c r="F47" s="20" t="n">
        <v>0</v>
      </c>
      <c r="G47" s="18" t="n">
        <v>0</v>
      </c>
      <c r="H47" s="20" t="n">
        <v>0</v>
      </c>
      <c r="I47" s="18" t="s">
        <v>349</v>
      </c>
      <c r="J47" s="20" t="s">
        <v>349</v>
      </c>
      <c r="K47" s="18" t="n">
        <v>0</v>
      </c>
      <c r="L47" s="20" t="n">
        <v>0</v>
      </c>
      <c r="M47" s="18" t="n">
        <v>100</v>
      </c>
      <c r="N47" s="20" t="n">
        <v>0</v>
      </c>
      <c r="O47" s="18" t="n">
        <v>0</v>
      </c>
      <c r="P47" s="20" t="n">
        <v>0</v>
      </c>
      <c r="Q47" s="18" t="n">
        <v>0</v>
      </c>
      <c r="R47" s="20" t="n">
        <v>0</v>
      </c>
    </row>
    <row r="48" spans="1:18">
      <c r="A48" s="15" t="s">
        <v>390</v>
      </c>
      <c r="B48" s="17" t="n">
        <v>5159</v>
      </c>
      <c r="C48" s="18">
        <f>(4533.0/B48*100)</f>
        <v/>
      </c>
      <c r="D48" s="19" t="n">
        <v>626</v>
      </c>
      <c r="E48" s="18" t="n">
        <v>0</v>
      </c>
      <c r="F48" s="20" t="n">
        <v>0</v>
      </c>
      <c r="G48" s="18" t="n">
        <v>0</v>
      </c>
      <c r="H48" s="20" t="n">
        <v>0</v>
      </c>
      <c r="I48" s="18" t="s">
        <v>349</v>
      </c>
      <c r="J48" s="20" t="s">
        <v>349</v>
      </c>
      <c r="K48" s="18" t="n">
        <v>0</v>
      </c>
      <c r="L48" s="20" t="n">
        <v>0</v>
      </c>
      <c r="M48" s="18" t="n">
        <v>100</v>
      </c>
      <c r="N48" s="20" t="n">
        <v>0</v>
      </c>
      <c r="O48" s="18" t="n">
        <v>0</v>
      </c>
      <c r="P48" s="20" t="n">
        <v>0</v>
      </c>
      <c r="Q48" s="18" t="n">
        <v>0</v>
      </c>
      <c r="R48" s="20" t="n">
        <v>0</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(4935.0/B50*100)</f>
        <v/>
      </c>
      <c r="D50" s="19" t="n">
        <v>702</v>
      </c>
      <c r="E50" s="18" t="n">
        <v>0</v>
      </c>
      <c r="F50" s="20" t="n">
        <v>0</v>
      </c>
      <c r="G50" s="18" t="n">
        <v>0</v>
      </c>
      <c r="H50" s="20" t="n">
        <v>0</v>
      </c>
      <c r="I50" s="18" t="s">
        <v>349</v>
      </c>
      <c r="J50" s="20" t="s">
        <v>349</v>
      </c>
      <c r="K50" s="18" t="n">
        <v>0</v>
      </c>
      <c r="L50" s="20" t="n">
        <v>0</v>
      </c>
      <c r="M50" s="18" t="n">
        <v>100</v>
      </c>
      <c r="N50" s="20" t="n">
        <v>0</v>
      </c>
      <c r="O50" s="18" t="n">
        <v>0</v>
      </c>
      <c r="P50" s="20" t="n">
        <v>0</v>
      </c>
      <c r="Q50" s="18" t="n">
        <v>0</v>
      </c>
      <c r="R50" s="20" t="n">
        <v>0</v>
      </c>
    </row>
    <row r="51" spans="1:18">
      <c r="A51" s="15" t="s">
        <v>393</v>
      </c>
      <c r="B51" s="17" t="n">
        <v>3372</v>
      </c>
      <c r="C51" s="18">
        <f>(3014.0/B51*100)</f>
        <v/>
      </c>
      <c r="D51" s="19" t="n">
        <v>358</v>
      </c>
      <c r="E51" s="18" t="n">
        <v>0</v>
      </c>
      <c r="F51" s="20" t="n">
        <v>0</v>
      </c>
      <c r="G51" s="18" t="n">
        <v>0</v>
      </c>
      <c r="H51" s="20" t="n">
        <v>0</v>
      </c>
      <c r="I51" s="18" t="s">
        <v>349</v>
      </c>
      <c r="J51" s="20" t="s">
        <v>349</v>
      </c>
      <c r="K51" s="18" t="n">
        <v>0</v>
      </c>
      <c r="L51" s="20" t="n">
        <v>0</v>
      </c>
      <c r="M51" s="18" t="n">
        <v>100</v>
      </c>
      <c r="N51" s="20" t="n">
        <v>0</v>
      </c>
      <c r="O51" s="18" t="n">
        <v>0</v>
      </c>
      <c r="P51" s="20" t="n">
        <v>0</v>
      </c>
      <c r="Q51" s="18" t="n">
        <v>0</v>
      </c>
      <c r="R51" s="20" t="n">
        <v>0</v>
      </c>
    </row>
    <row r="52" spans="1:18">
      <c r="A52" s="15" t="s">
        <v>394</v>
      </c>
      <c r="B52" s="17" t="n">
        <v>2796</v>
      </c>
      <c r="C52" s="18">
        <f>(2460.0/B52*100)</f>
        <v/>
      </c>
      <c r="D52" s="19" t="n">
        <v>336</v>
      </c>
      <c r="E52" s="18" t="n">
        <v>0</v>
      </c>
      <c r="F52" s="20" t="n">
        <v>0</v>
      </c>
      <c r="G52" s="18" t="n">
        <v>0</v>
      </c>
      <c r="H52" s="20" t="n">
        <v>0</v>
      </c>
      <c r="I52" s="18" t="s">
        <v>349</v>
      </c>
      <c r="J52" s="20" t="s">
        <v>349</v>
      </c>
      <c r="K52" s="18" t="n">
        <v>0</v>
      </c>
      <c r="L52" s="20" t="n">
        <v>0</v>
      </c>
      <c r="M52" s="18" t="n">
        <v>100</v>
      </c>
      <c r="N52" s="20" t="n">
        <v>0</v>
      </c>
      <c r="O52" s="18" t="n">
        <v>0</v>
      </c>
      <c r="P52" s="20" t="n">
        <v>0</v>
      </c>
      <c r="Q52" s="18" t="n">
        <v>0</v>
      </c>
      <c r="R52" s="20" t="n">
        <v>0</v>
      </c>
    </row>
    <row r="53" spans="1:18">
      <c r="A53" s="15" t="s">
        <v>395</v>
      </c>
      <c r="B53" s="17" t="n">
        <v>2811</v>
      </c>
      <c r="C53" s="18">
        <f>(2464.0/B53*100)</f>
        <v/>
      </c>
      <c r="D53" s="19" t="n">
        <v>347</v>
      </c>
      <c r="E53" s="18" t="n">
        <v>0</v>
      </c>
      <c r="F53" s="20" t="n">
        <v>0</v>
      </c>
      <c r="G53" s="18" t="n">
        <v>0</v>
      </c>
      <c r="H53" s="20" t="n">
        <v>0</v>
      </c>
      <c r="I53" s="18" t="s">
        <v>349</v>
      </c>
      <c r="J53" s="20" t="s">
        <v>349</v>
      </c>
      <c r="K53" s="18" t="n">
        <v>0</v>
      </c>
      <c r="L53" s="20" t="n">
        <v>0</v>
      </c>
      <c r="M53" s="18" t="n">
        <v>100</v>
      </c>
      <c r="N53" s="20" t="n">
        <v>0</v>
      </c>
      <c r="O53" s="18" t="n">
        <v>0</v>
      </c>
      <c r="P53" s="20" t="n">
        <v>0</v>
      </c>
      <c r="Q53" s="18" t="n">
        <v>0</v>
      </c>
      <c r="R53" s="20" t="n">
        <v>0</v>
      </c>
    </row>
    <row r="54" spans="1:18">
      <c r="A54" s="15" t="s">
        <v>396</v>
      </c>
      <c r="B54" s="17" t="n">
        <v>2266</v>
      </c>
      <c r="C54" s="18">
        <f>(1882.0/B54*100)</f>
        <v/>
      </c>
      <c r="D54" s="19" t="n">
        <v>384</v>
      </c>
      <c r="E54" s="18" t="n">
        <v>0</v>
      </c>
      <c r="F54" s="20" t="n">
        <v>0</v>
      </c>
      <c r="G54" s="18" t="n">
        <v>0</v>
      </c>
      <c r="H54" s="20" t="n">
        <v>0</v>
      </c>
      <c r="I54" s="18" t="s">
        <v>349</v>
      </c>
      <c r="J54" s="20" t="s">
        <v>349</v>
      </c>
      <c r="K54" s="18" t="n">
        <v>0</v>
      </c>
      <c r="L54" s="20" t="n">
        <v>0</v>
      </c>
      <c r="M54" s="18" t="n">
        <v>100</v>
      </c>
      <c r="N54" s="20" t="n">
        <v>0</v>
      </c>
      <c r="O54" s="18" t="n">
        <v>0</v>
      </c>
      <c r="P54" s="20" t="n">
        <v>0</v>
      </c>
      <c r="Q54" s="18" t="n">
        <v>0</v>
      </c>
      <c r="R54" s="20" t="n">
        <v>0</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(2369.0/B56*100)</f>
        <v/>
      </c>
      <c r="D56" s="19" t="n">
        <v>315</v>
      </c>
      <c r="E56" s="18" t="n">
        <v>0</v>
      </c>
      <c r="F56" s="20" t="n">
        <v>0</v>
      </c>
      <c r="G56" s="18" t="n">
        <v>0</v>
      </c>
      <c r="H56" s="20" t="n">
        <v>0</v>
      </c>
      <c r="I56" s="18" t="s">
        <v>349</v>
      </c>
      <c r="J56" s="20" t="s">
        <v>349</v>
      </c>
      <c r="K56" s="18" t="n">
        <v>0</v>
      </c>
      <c r="L56" s="20" t="n">
        <v>0</v>
      </c>
      <c r="M56" s="18" t="n">
        <v>100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(2928.0/B61*100)</f>
        <v/>
      </c>
      <c r="D61" s="19" t="n">
        <v>396</v>
      </c>
      <c r="E61" s="18" t="n">
        <v>0</v>
      </c>
      <c r="F61" s="20" t="n">
        <v>0</v>
      </c>
      <c r="G61" s="18" t="n">
        <v>0</v>
      </c>
      <c r="H61" s="20" t="n">
        <v>0</v>
      </c>
      <c r="I61" s="18" t="s">
        <v>349</v>
      </c>
      <c r="J61" s="20" t="s">
        <v>349</v>
      </c>
      <c r="K61" s="18" t="n">
        <v>0</v>
      </c>
      <c r="L61" s="20" t="n">
        <v>0</v>
      </c>
      <c r="M61" s="18" t="n">
        <v>100</v>
      </c>
      <c r="N61" s="20" t="n">
        <v>0</v>
      </c>
      <c r="O61" s="18" t="n">
        <v>0</v>
      </c>
      <c r="P61" s="20" t="n">
        <v>0</v>
      </c>
      <c r="Q61" s="18" t="n">
        <v>0</v>
      </c>
      <c r="R61" s="20" t="n">
        <v>0</v>
      </c>
    </row>
    <row r="62" spans="1:18">
      <c r="A62" s="15" t="s">
        <v>404</v>
      </c>
      <c r="B62" s="17" t="n">
        <v>2246</v>
      </c>
      <c r="C62" s="18">
        <f>(2001.0/B62*100)</f>
        <v/>
      </c>
      <c r="D62" s="19" t="n">
        <v>245</v>
      </c>
      <c r="E62" s="18" t="n">
        <v>0</v>
      </c>
      <c r="F62" s="20" t="n">
        <v>0</v>
      </c>
      <c r="G62" s="18" t="n">
        <v>0</v>
      </c>
      <c r="H62" s="20" t="n">
        <v>0</v>
      </c>
      <c r="I62" s="18" t="s">
        <v>349</v>
      </c>
      <c r="J62" s="20" t="s">
        <v>349</v>
      </c>
      <c r="K62" s="18" t="n">
        <v>0</v>
      </c>
      <c r="L62" s="20" t="n">
        <v>0</v>
      </c>
      <c r="M62" s="18" t="n">
        <v>100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(2542.0/B66*100)</f>
        <v/>
      </c>
      <c r="D66" s="19" t="n">
        <v>352</v>
      </c>
      <c r="E66" s="18" t="n">
        <v>0</v>
      </c>
      <c r="F66" s="20" t="n">
        <v>0</v>
      </c>
      <c r="G66" s="18" t="n">
        <v>0</v>
      </c>
      <c r="H66" s="20" t="n">
        <v>0</v>
      </c>
      <c r="I66" s="18" t="s">
        <v>349</v>
      </c>
      <c r="J66" s="20" t="s">
        <v>349</v>
      </c>
      <c r="K66" s="18" t="n">
        <v>0</v>
      </c>
      <c r="L66" s="20" t="n">
        <v>0</v>
      </c>
      <c r="M66" s="18" t="n">
        <v>100</v>
      </c>
      <c r="N66" s="20" t="n">
        <v>0</v>
      </c>
      <c r="O66" s="18" t="n">
        <v>0</v>
      </c>
      <c r="P66" s="20" t="n">
        <v>0</v>
      </c>
      <c r="Q66" s="18" t="n">
        <v>0</v>
      </c>
      <c r="R66" s="20" t="n">
        <v>0</v>
      </c>
    </row>
    <row r="67" spans="1:18">
      <c r="A67" s="15" t="s">
        <v>409</v>
      </c>
      <c r="B67" s="17" t="n">
        <v>3511</v>
      </c>
      <c r="C67" s="18">
        <f>(3108.0/B67*100)</f>
        <v/>
      </c>
      <c r="D67" s="19" t="n">
        <v>403</v>
      </c>
      <c r="E67" s="18" t="n">
        <v>0</v>
      </c>
      <c r="F67" s="20" t="n">
        <v>0</v>
      </c>
      <c r="G67" s="18" t="n">
        <v>0</v>
      </c>
      <c r="H67" s="20" t="n">
        <v>0</v>
      </c>
      <c r="I67" s="18" t="s">
        <v>349</v>
      </c>
      <c r="J67" s="20" t="s">
        <v>349</v>
      </c>
      <c r="K67" s="18" t="n">
        <v>0</v>
      </c>
      <c r="L67" s="20" t="n">
        <v>0</v>
      </c>
      <c r="M67" s="18" t="n">
        <v>100</v>
      </c>
      <c r="N67" s="20" t="n">
        <v>0</v>
      </c>
      <c r="O67" s="18" t="n">
        <v>0</v>
      </c>
      <c r="P67" s="20" t="n">
        <v>0</v>
      </c>
      <c r="Q67" s="18" t="n">
        <v>0</v>
      </c>
      <c r="R67" s="20" t="n">
        <v>0</v>
      </c>
    </row>
    <row r="68" spans="1:18">
      <c r="A68" s="15" t="s">
        <v>410</v>
      </c>
      <c r="B68" s="17" t="n">
        <v>6049</v>
      </c>
      <c r="C68" s="18">
        <f>(5064.0/B68*100)</f>
        <v/>
      </c>
      <c r="D68" s="19" t="n">
        <v>985</v>
      </c>
      <c r="E68" s="18" t="n">
        <v>0</v>
      </c>
      <c r="F68" s="20" t="n">
        <v>0</v>
      </c>
      <c r="G68" s="18" t="n">
        <v>0</v>
      </c>
      <c r="H68" s="20" t="n">
        <v>0</v>
      </c>
      <c r="I68" s="18" t="s">
        <v>349</v>
      </c>
      <c r="J68" s="20" t="s">
        <v>349</v>
      </c>
      <c r="K68" s="18" t="n">
        <v>0</v>
      </c>
      <c r="L68" s="20" t="n">
        <v>0</v>
      </c>
      <c r="M68" s="18" t="n">
        <v>100</v>
      </c>
      <c r="N68" s="20" t="n">
        <v>0</v>
      </c>
      <c r="O68" s="18" t="n">
        <v>0</v>
      </c>
      <c r="P68" s="20" t="n">
        <v>0</v>
      </c>
      <c r="Q68" s="18" t="n">
        <v>0</v>
      </c>
      <c r="R68" s="20" t="n">
        <v>0</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(2601.0/B70*100)</f>
        <v/>
      </c>
      <c r="D70" s="19" t="n">
        <v>328</v>
      </c>
      <c r="E70" s="18" t="n">
        <v>0</v>
      </c>
      <c r="F70" s="20" t="n">
        <v>0</v>
      </c>
      <c r="G70" s="18" t="n">
        <v>0</v>
      </c>
      <c r="H70" s="20" t="n">
        <v>0</v>
      </c>
      <c r="I70" s="18" t="s">
        <v>349</v>
      </c>
      <c r="J70" s="20" t="s">
        <v>349</v>
      </c>
      <c r="K70" s="18" t="n">
        <v>0</v>
      </c>
      <c r="L70" s="20" t="n">
        <v>0</v>
      </c>
      <c r="M70" s="18" t="n">
        <v>100</v>
      </c>
      <c r="N70" s="20" t="n">
        <v>0</v>
      </c>
      <c r="O70" s="18" t="n">
        <v>0</v>
      </c>
      <c r="P70" s="20" t="n">
        <v>0</v>
      </c>
      <c r="Q70" s="18" t="n">
        <v>0</v>
      </c>
      <c r="R70" s="20" t="n">
        <v>0</v>
      </c>
    </row>
    <row r="71" spans="1:18">
      <c r="A71" s="15" t="s">
        <v>413</v>
      </c>
      <c r="B71" s="17" t="n">
        <v>3142</v>
      </c>
      <c r="C71" s="18">
        <f>(2749.0/B71*100)</f>
        <v/>
      </c>
      <c r="D71" s="19" t="n">
        <v>393</v>
      </c>
      <c r="E71" s="18" t="n">
        <v>0</v>
      </c>
      <c r="F71" s="20" t="n">
        <v>0</v>
      </c>
      <c r="G71" s="18" t="n">
        <v>0</v>
      </c>
      <c r="H71" s="20" t="n">
        <v>0</v>
      </c>
      <c r="I71" s="18" t="s">
        <v>349</v>
      </c>
      <c r="J71" s="20" t="s">
        <v>349</v>
      </c>
      <c r="K71" s="18" t="n">
        <v>0</v>
      </c>
      <c r="L71" s="20" t="n">
        <v>0</v>
      </c>
      <c r="M71" s="18" t="n">
        <v>100</v>
      </c>
      <c r="N71" s="20" t="n">
        <v>0</v>
      </c>
      <c r="O71" s="18" t="n">
        <v>0</v>
      </c>
      <c r="P71" s="20" t="n">
        <v>0</v>
      </c>
      <c r="Q71" s="18" t="n">
        <v>0</v>
      </c>
      <c r="R71" s="20" t="n">
        <v>0</v>
      </c>
    </row>
    <row r="72" spans="1:18">
      <c r="A72" s="15" t="s">
        <v>414</v>
      </c>
      <c r="B72" s="17" t="n">
        <v>3889</v>
      </c>
      <c r="C72" s="18">
        <f>(3402.0/B72*100)</f>
        <v/>
      </c>
      <c r="D72" s="19" t="n">
        <v>487</v>
      </c>
      <c r="E72" s="18" t="n">
        <v>0</v>
      </c>
      <c r="F72" s="20" t="n">
        <v>0</v>
      </c>
      <c r="G72" s="18" t="n">
        <v>0</v>
      </c>
      <c r="H72" s="20" t="n">
        <v>0</v>
      </c>
      <c r="I72" s="18" t="s">
        <v>349</v>
      </c>
      <c r="J72" s="20" t="s">
        <v>349</v>
      </c>
      <c r="K72" s="18" t="n">
        <v>0</v>
      </c>
      <c r="L72" s="20" t="n">
        <v>0</v>
      </c>
      <c r="M72" s="18" t="n">
        <v>100</v>
      </c>
      <c r="N72" s="20" t="n">
        <v>0</v>
      </c>
      <c r="O72" s="18" t="n">
        <v>0</v>
      </c>
      <c r="P72" s="20" t="n">
        <v>0</v>
      </c>
      <c r="Q72" s="18" t="n">
        <v>0</v>
      </c>
      <c r="R72" s="20" t="n">
        <v>0</v>
      </c>
    </row>
    <row r="73" spans="1:18">
      <c r="A73" s="15" t="s">
        <v>415</v>
      </c>
      <c r="B73" s="17" t="n">
        <v>3597</v>
      </c>
      <c r="C73" s="18">
        <f>(3149.0/B73*100)</f>
        <v/>
      </c>
      <c r="D73" s="19" t="n">
        <v>448</v>
      </c>
      <c r="E73" s="18" t="n">
        <v>0</v>
      </c>
      <c r="F73" s="20" t="n">
        <v>0</v>
      </c>
      <c r="G73" s="18" t="n">
        <v>0</v>
      </c>
      <c r="H73" s="20" t="n">
        <v>0</v>
      </c>
      <c r="I73" s="18" t="s">
        <v>349</v>
      </c>
      <c r="J73" s="20" t="s">
        <v>349</v>
      </c>
      <c r="K73" s="18" t="n">
        <v>0</v>
      </c>
      <c r="L73" s="20" t="n">
        <v>0</v>
      </c>
      <c r="M73" s="18" t="n">
        <v>100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(2127.0/B75*100)</f>
        <v/>
      </c>
      <c r="D75" s="19" t="n">
        <v>279</v>
      </c>
      <c r="E75" s="18" t="n">
        <v>0</v>
      </c>
      <c r="F75" s="20" t="n">
        <v>0</v>
      </c>
      <c r="G75" s="18" t="n">
        <v>0</v>
      </c>
      <c r="H75" s="20" t="n">
        <v>0</v>
      </c>
      <c r="I75" s="18" t="s">
        <v>349</v>
      </c>
      <c r="J75" s="20" t="s">
        <v>349</v>
      </c>
      <c r="K75" s="18" t="n">
        <v>0</v>
      </c>
      <c r="L75" s="20" t="n">
        <v>0</v>
      </c>
      <c r="M75" s="18" t="n">
        <v>100</v>
      </c>
      <c r="N75" s="20" t="n">
        <v>0</v>
      </c>
      <c r="O75" s="18" t="n">
        <v>0</v>
      </c>
      <c r="P75" s="20" t="n">
        <v>0</v>
      </c>
      <c r="Q75" s="18" t="n">
        <v>0</v>
      </c>
      <c r="R75" s="20" t="n">
        <v>0</v>
      </c>
    </row>
    <row r="76" spans="1:18">
      <c r="A76" s="15" t="s">
        <v>418</v>
      </c>
      <c r="B76" s="17" t="n">
        <v>7052</v>
      </c>
      <c r="C76" s="18">
        <f>(6208.0/B76*100)</f>
        <v/>
      </c>
      <c r="D76" s="19" t="n">
        <v>844</v>
      </c>
      <c r="E76" s="18" t="n">
        <v>0</v>
      </c>
      <c r="F76" s="20" t="n">
        <v>0</v>
      </c>
      <c r="G76" s="18" t="n">
        <v>0</v>
      </c>
      <c r="H76" s="20" t="n">
        <v>0</v>
      </c>
      <c r="I76" s="18" t="s">
        <v>349</v>
      </c>
      <c r="J76" s="20" t="s">
        <v>349</v>
      </c>
      <c r="K76" s="18" t="n">
        <v>0</v>
      </c>
      <c r="L76" s="20" t="n">
        <v>0</v>
      </c>
      <c r="M76" s="18" t="n">
        <v>100</v>
      </c>
      <c r="N76" s="20" t="n">
        <v>0</v>
      </c>
      <c r="O76" s="18" t="n">
        <v>0</v>
      </c>
      <c r="P76" s="20" t="n">
        <v>0</v>
      </c>
      <c r="Q76" s="18" t="n">
        <v>0</v>
      </c>
      <c r="R76" s="20" t="n">
        <v>0</v>
      </c>
    </row>
    <row r="77" spans="1:18">
      <c r="A77" s="15" t="s">
        <v>419</v>
      </c>
      <c r="B77" s="17" t="n">
        <v>2908</v>
      </c>
      <c r="C77" s="18">
        <f>(2538.0/B77*100)</f>
        <v/>
      </c>
      <c r="D77" s="19" t="n">
        <v>370</v>
      </c>
      <c r="E77" s="18" t="n">
        <v>0</v>
      </c>
      <c r="F77" s="20" t="n">
        <v>0</v>
      </c>
      <c r="G77" s="18" t="n">
        <v>0</v>
      </c>
      <c r="H77" s="20" t="n">
        <v>0</v>
      </c>
      <c r="I77" s="18" t="s">
        <v>349</v>
      </c>
      <c r="J77" s="20" t="s">
        <v>349</v>
      </c>
      <c r="K77" s="18" t="n">
        <v>0</v>
      </c>
      <c r="L77" s="20" t="n">
        <v>0</v>
      </c>
      <c r="M77" s="18" t="n">
        <v>100</v>
      </c>
      <c r="N77" s="20" t="n">
        <v>0</v>
      </c>
      <c r="O77" s="18" t="n">
        <v>0</v>
      </c>
      <c r="P77" s="20" t="n">
        <v>0</v>
      </c>
      <c r="Q77" s="18" t="n">
        <v>0</v>
      </c>
      <c r="R77" s="20" t="n">
        <v>0</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(3648.0/B81*100)</f>
        <v/>
      </c>
      <c r="D81" s="19" t="n">
        <v>515</v>
      </c>
      <c r="E81" s="18" t="n">
        <v>0</v>
      </c>
      <c r="F81" s="20" t="n">
        <v>0</v>
      </c>
      <c r="G81" s="18" t="n">
        <v>0</v>
      </c>
      <c r="H81" s="20" t="n">
        <v>0</v>
      </c>
      <c r="I81" s="18" t="s">
        <v>349</v>
      </c>
      <c r="J81" s="20" t="s">
        <v>349</v>
      </c>
      <c r="K81" s="18" t="n">
        <v>0</v>
      </c>
      <c r="L81" s="20" t="n">
        <v>0</v>
      </c>
      <c r="M81" s="18" t="n">
        <v>100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(6486.0/B7*100)</f>
        <v/>
      </c>
      <c r="D7" s="19" t="n">
        <v>881</v>
      </c>
      <c r="E7" s="18" t="n">
        <v>62.58532491</v>
      </c>
      <c r="F7" s="20" t="n">
        <v>2.13382638</v>
      </c>
      <c r="G7" s="18" t="n">
        <v>26.47419061</v>
      </c>
      <c r="H7" s="20" t="n">
        <v>1.79141244</v>
      </c>
      <c r="I7" s="18" t="s">
        <v>349</v>
      </c>
      <c r="J7" s="20" t="s">
        <v>349</v>
      </c>
      <c r="K7" s="18" t="n">
        <v>0.4383427</v>
      </c>
      <c r="L7" s="20" t="n">
        <v>0.2395491</v>
      </c>
      <c r="M7" s="18" t="n">
        <v>0.07329645999999999</v>
      </c>
      <c r="N7" s="20" t="n">
        <v>0.07177202000000001</v>
      </c>
      <c r="O7" s="18" t="n">
        <v>0</v>
      </c>
      <c r="P7" s="20" t="n">
        <v>0</v>
      </c>
      <c r="Q7" s="18" t="n">
        <v>10.42884531</v>
      </c>
      <c r="R7" s="20" t="n">
        <v>1.29771435</v>
      </c>
    </row>
    <row r="8" spans="1:18">
      <c r="A8" s="15" t="s">
        <v>350</v>
      </c>
      <c r="B8" s="17" t="n">
        <v>3564</v>
      </c>
      <c r="C8" s="18">
        <f>(3126.0/B8*100)</f>
        <v/>
      </c>
      <c r="D8" s="19" t="n">
        <v>438</v>
      </c>
      <c r="E8" s="18" t="n">
        <v>52.32847806</v>
      </c>
      <c r="F8" s="20" t="n">
        <v>2.59705715</v>
      </c>
      <c r="G8" s="18" t="n">
        <v>32.69432247</v>
      </c>
      <c r="H8" s="20" t="n">
        <v>2.9197746</v>
      </c>
      <c r="I8" s="18" t="s">
        <v>349</v>
      </c>
      <c r="J8" s="20" t="s">
        <v>349</v>
      </c>
      <c r="K8" s="18" t="n">
        <v>0.84498184</v>
      </c>
      <c r="L8" s="20" t="n">
        <v>0.47787286</v>
      </c>
      <c r="M8" s="18" t="n">
        <v>0</v>
      </c>
      <c r="N8" s="20" t="n">
        <v>0</v>
      </c>
      <c r="O8" s="18" t="n">
        <v>0</v>
      </c>
      <c r="P8" s="20" t="n">
        <v>0</v>
      </c>
      <c r="Q8" s="18" t="n">
        <v>14.13221763</v>
      </c>
      <c r="R8" s="20" t="n">
        <v>1.90219743</v>
      </c>
    </row>
    <row r="9" spans="1:18">
      <c r="A9" s="15" t="s">
        <v>351</v>
      </c>
      <c r="B9" s="17" t="n">
        <v>4899</v>
      </c>
      <c r="C9" s="18">
        <f>(4307.0/B9*100)</f>
        <v/>
      </c>
      <c r="D9" s="19" t="n">
        <v>592</v>
      </c>
      <c r="E9" s="18" t="n">
        <v>58.98322816</v>
      </c>
      <c r="F9" s="20" t="n">
        <v>2.03070066</v>
      </c>
      <c r="G9" s="18" t="n">
        <v>26.57598235</v>
      </c>
      <c r="H9" s="20" t="n">
        <v>1.99555135</v>
      </c>
      <c r="I9" s="18" t="s">
        <v>349</v>
      </c>
      <c r="J9" s="20" t="s">
        <v>349</v>
      </c>
      <c r="K9" s="18" t="n">
        <v>0.57918085</v>
      </c>
      <c r="L9" s="20" t="n">
        <v>0.44110915</v>
      </c>
      <c r="M9" s="18" t="n">
        <v>0.69098284</v>
      </c>
      <c r="N9" s="20" t="n">
        <v>0.31862482</v>
      </c>
      <c r="O9" s="18" t="n">
        <v>0</v>
      </c>
      <c r="P9" s="20" t="n">
        <v>0</v>
      </c>
      <c r="Q9" s="18" t="n">
        <v>13.1706258</v>
      </c>
      <c r="R9" s="20" t="n">
        <v>1.56262878</v>
      </c>
    </row>
    <row r="10" spans="1:18">
      <c r="A10" s="15" t="s">
        <v>352</v>
      </c>
      <c r="B10" s="17" t="n">
        <v>10036</v>
      </c>
      <c r="C10" s="18">
        <f>(8796.0/B10*100)</f>
        <v/>
      </c>
      <c r="D10" s="19" t="n">
        <v>1240</v>
      </c>
      <c r="E10" s="18" t="n">
        <v>59.07417503</v>
      </c>
      <c r="F10" s="20" t="n">
        <v>2.23342374</v>
      </c>
      <c r="G10" s="18" t="n">
        <v>31.51228169</v>
      </c>
      <c r="H10" s="20" t="n">
        <v>1.99944034</v>
      </c>
      <c r="I10" s="18" t="s">
        <v>349</v>
      </c>
      <c r="J10" s="20" t="s">
        <v>349</v>
      </c>
      <c r="K10" s="18" t="n">
        <v>0.47326203</v>
      </c>
      <c r="L10" s="20" t="n">
        <v>0.2393031</v>
      </c>
      <c r="M10" s="18" t="n">
        <v>0.22775155</v>
      </c>
      <c r="N10" s="20" t="n">
        <v>0.12578582</v>
      </c>
      <c r="O10" s="18" t="n">
        <v>0</v>
      </c>
      <c r="P10" s="20" t="n">
        <v>0</v>
      </c>
      <c r="Q10" s="18" t="n">
        <v>8.71252969</v>
      </c>
      <c r="R10" s="20" t="n">
        <v>1.11031247</v>
      </c>
    </row>
    <row r="11" spans="1:18">
      <c r="A11" s="15" t="s">
        <v>353</v>
      </c>
      <c r="B11" s="17" t="n">
        <v>3553</v>
      </c>
      <c r="C11" s="18">
        <f>(3128.0/B11*100)</f>
        <v/>
      </c>
      <c r="D11" s="19" t="n">
        <v>425</v>
      </c>
      <c r="E11" s="18" t="n">
        <v>65.61318288</v>
      </c>
      <c r="F11" s="20" t="n">
        <v>2.39187577</v>
      </c>
      <c r="G11" s="18" t="n">
        <v>6.1329047</v>
      </c>
      <c r="H11" s="20" t="n">
        <v>1.3559936</v>
      </c>
      <c r="I11" s="18" t="s">
        <v>349</v>
      </c>
      <c r="J11" s="20" t="s">
        <v>349</v>
      </c>
      <c r="K11" s="18" t="n">
        <v>0.53084666</v>
      </c>
      <c r="L11" s="20" t="n">
        <v>0.3030682</v>
      </c>
      <c r="M11" s="18" t="n">
        <v>0</v>
      </c>
      <c r="N11" s="20" t="n">
        <v>0</v>
      </c>
      <c r="O11" s="18" t="n">
        <v>0</v>
      </c>
      <c r="P11" s="20" t="n">
        <v>0</v>
      </c>
      <c r="Q11" s="18" t="n">
        <v>27.72306577</v>
      </c>
      <c r="R11" s="20" t="n">
        <v>2.47053312</v>
      </c>
    </row>
    <row r="12" spans="1:18">
      <c r="A12" s="15" t="s">
        <v>354</v>
      </c>
      <c r="B12" s="17" t="n">
        <v>3472</v>
      </c>
      <c r="C12" s="18">
        <f>(3072.0/B12*100)</f>
        <v/>
      </c>
      <c r="D12" s="19" t="n">
        <v>400</v>
      </c>
      <c r="E12" s="18" t="n">
        <v>52.40386221</v>
      </c>
      <c r="F12" s="20" t="n">
        <v>2.62427283</v>
      </c>
      <c r="G12" s="18" t="n">
        <v>29.32661245</v>
      </c>
      <c r="H12" s="20" t="n">
        <v>2.62569295</v>
      </c>
      <c r="I12" s="18" t="s">
        <v>349</v>
      </c>
      <c r="J12" s="20" t="s">
        <v>349</v>
      </c>
      <c r="K12" s="18" t="n">
        <v>0</v>
      </c>
      <c r="L12" s="20" t="n">
        <v>0</v>
      </c>
      <c r="M12" s="18" t="n">
        <v>0.14392614</v>
      </c>
      <c r="N12" s="20" t="n">
        <v>0.19034887</v>
      </c>
      <c r="O12" s="18" t="n">
        <v>0</v>
      </c>
      <c r="P12" s="20" t="n">
        <v>0</v>
      </c>
      <c r="Q12" s="18" t="n">
        <v>18.1255992</v>
      </c>
      <c r="R12" s="20" t="n">
        <v>2.27687621</v>
      </c>
    </row>
    <row r="13" spans="1:18">
      <c r="A13" s="15" t="s">
        <v>355</v>
      </c>
      <c r="B13" s="17" t="n">
        <v>3559</v>
      </c>
      <c r="C13" s="18">
        <f>(3161.0/B13*100)</f>
        <v/>
      </c>
      <c r="D13" s="19" t="n">
        <v>398</v>
      </c>
      <c r="E13" s="18" t="n">
        <v>61.77829852</v>
      </c>
      <c r="F13" s="20" t="n">
        <v>2.95645737</v>
      </c>
      <c r="G13" s="18" t="n">
        <v>26.51518099</v>
      </c>
      <c r="H13" s="20" t="n">
        <v>2.90617604</v>
      </c>
      <c r="I13" s="18" t="s">
        <v>349</v>
      </c>
      <c r="J13" s="20" t="s">
        <v>349</v>
      </c>
      <c r="K13" s="18" t="n">
        <v>0.54044295</v>
      </c>
      <c r="L13" s="20" t="n">
        <v>0.3785552</v>
      </c>
      <c r="M13" s="18" t="n">
        <v>0</v>
      </c>
      <c r="N13" s="20" t="n">
        <v>0</v>
      </c>
      <c r="O13" s="18" t="n">
        <v>0</v>
      </c>
      <c r="P13" s="20" t="n">
        <v>0</v>
      </c>
      <c r="Q13" s="18" t="n">
        <v>11.16607753</v>
      </c>
      <c r="R13" s="20" t="n">
        <v>1.72593577</v>
      </c>
    </row>
    <row r="14" spans="1:18">
      <c r="A14" s="15" t="s">
        <v>356</v>
      </c>
      <c r="B14" s="17" t="n">
        <v>2799</v>
      </c>
      <c r="C14" s="18">
        <f>(2453.0/B14*100)</f>
        <v/>
      </c>
      <c r="D14" s="19" t="n">
        <v>346</v>
      </c>
      <c r="E14" s="18" t="n">
        <v>58.65771483</v>
      </c>
      <c r="F14" s="20" t="n">
        <v>2.80232982</v>
      </c>
      <c r="G14" s="18" t="n">
        <v>32.83406518</v>
      </c>
      <c r="H14" s="20" t="n">
        <v>2.74223585</v>
      </c>
      <c r="I14" s="18" t="s">
        <v>349</v>
      </c>
      <c r="J14" s="20" t="s">
        <v>349</v>
      </c>
      <c r="K14" s="18" t="n">
        <v>0.23169625</v>
      </c>
      <c r="L14" s="20" t="n">
        <v>0.23243413</v>
      </c>
      <c r="M14" s="18" t="n">
        <v>0</v>
      </c>
      <c r="N14" s="20" t="n">
        <v>0</v>
      </c>
      <c r="O14" s="18" t="n">
        <v>0</v>
      </c>
      <c r="P14" s="20" t="n">
        <v>0</v>
      </c>
      <c r="Q14" s="18" t="n">
        <v>8.27652374</v>
      </c>
      <c r="R14" s="20" t="n">
        <v>1.46029298</v>
      </c>
    </row>
    <row r="15" spans="1:18">
      <c r="A15" s="15" t="s">
        <v>357</v>
      </c>
      <c r="B15" s="17" t="n">
        <v>3019</v>
      </c>
      <c r="C15" s="18">
        <f>(2646.0/B15*100)</f>
        <v/>
      </c>
      <c r="D15" s="19" t="n">
        <v>373</v>
      </c>
      <c r="E15" s="18" t="n">
        <v>61.38603025</v>
      </c>
      <c r="F15" s="20" t="n">
        <v>2.85617677</v>
      </c>
      <c r="G15" s="18" t="n">
        <v>26.32874029</v>
      </c>
      <c r="H15" s="20" t="n">
        <v>2.40778158</v>
      </c>
      <c r="I15" s="18" t="s">
        <v>349</v>
      </c>
      <c r="J15" s="20" t="s">
        <v>349</v>
      </c>
      <c r="K15" s="18" t="n">
        <v>0</v>
      </c>
      <c r="L15" s="20" t="n">
        <v>0</v>
      </c>
      <c r="M15" s="18" t="n">
        <v>0</v>
      </c>
      <c r="N15" s="20" t="n">
        <v>0</v>
      </c>
      <c r="O15" s="18" t="n">
        <v>0</v>
      </c>
      <c r="P15" s="20" t="n">
        <v>0</v>
      </c>
      <c r="Q15" s="18" t="n">
        <v>12.28522946</v>
      </c>
      <c r="R15" s="20" t="n">
        <v>1.74737282</v>
      </c>
    </row>
    <row r="16" spans="1:18">
      <c r="A16" s="15" t="s">
        <v>358</v>
      </c>
      <c r="B16" s="17" t="n">
        <v>2997</v>
      </c>
      <c r="C16" s="18">
        <f>(2621.0/B16*100)</f>
        <v/>
      </c>
      <c r="D16" s="19" t="n">
        <v>376</v>
      </c>
      <c r="E16" s="18" t="n">
        <v>62.76915431</v>
      </c>
      <c r="F16" s="20" t="n">
        <v>2.2524769</v>
      </c>
      <c r="G16" s="18" t="n">
        <v>16.89898417</v>
      </c>
      <c r="H16" s="20" t="n">
        <v>1.97861557</v>
      </c>
      <c r="I16" s="18" t="s">
        <v>349</v>
      </c>
      <c r="J16" s="20" t="s">
        <v>349</v>
      </c>
      <c r="K16" s="18" t="n">
        <v>0.79373891</v>
      </c>
      <c r="L16" s="20" t="n">
        <v>0.43310358</v>
      </c>
      <c r="M16" s="18" t="n">
        <v>0</v>
      </c>
      <c r="N16" s="20" t="n">
        <v>0</v>
      </c>
      <c r="O16" s="18" t="n">
        <v>0</v>
      </c>
      <c r="P16" s="20" t="n">
        <v>0</v>
      </c>
      <c r="Q16" s="18" t="n">
        <v>19.53812261</v>
      </c>
      <c r="R16" s="20" t="n">
        <v>2.02211758</v>
      </c>
    </row>
    <row r="17" spans="1:18">
      <c r="A17" s="15" t="s">
        <v>359</v>
      </c>
      <c r="B17" s="17" t="n">
        <v>3307</v>
      </c>
      <c r="C17" s="18">
        <f>(2920.0/B17*100)</f>
        <v/>
      </c>
      <c r="D17" s="19" t="n">
        <v>387</v>
      </c>
      <c r="E17" s="18" t="n">
        <v>53.23986355</v>
      </c>
      <c r="F17" s="20" t="n">
        <v>2.45592367</v>
      </c>
      <c r="G17" s="18" t="n">
        <v>33.58762892</v>
      </c>
      <c r="H17" s="20" t="n">
        <v>2.37969749</v>
      </c>
      <c r="I17" s="18" t="s">
        <v>349</v>
      </c>
      <c r="J17" s="20" t="s">
        <v>349</v>
      </c>
      <c r="K17" s="18" t="n">
        <v>0.3694202</v>
      </c>
      <c r="L17" s="20" t="n">
        <v>0.31759732</v>
      </c>
      <c r="M17" s="18" t="n">
        <v>0</v>
      </c>
      <c r="N17" s="20" t="n">
        <v>0</v>
      </c>
      <c r="O17" s="18" t="n">
        <v>0</v>
      </c>
      <c r="P17" s="20" t="n">
        <v>0</v>
      </c>
      <c r="Q17" s="18" t="n">
        <v>12.80308733</v>
      </c>
      <c r="R17" s="20" t="n">
        <v>1.84709283</v>
      </c>
    </row>
    <row r="18" spans="1:18">
      <c r="A18" s="15" t="s">
        <v>360</v>
      </c>
      <c r="B18" s="17" t="n">
        <v>2826</v>
      </c>
      <c r="C18" s="18">
        <f>(2500.0/B18*100)</f>
        <v/>
      </c>
      <c r="D18" s="19" t="n">
        <v>326</v>
      </c>
      <c r="E18" s="18" t="n">
        <v>69.31537483</v>
      </c>
      <c r="F18" s="20" t="n">
        <v>2.38104098</v>
      </c>
      <c r="G18" s="18" t="n">
        <v>11.69788738</v>
      </c>
      <c r="H18" s="20" t="n">
        <v>1.7160473</v>
      </c>
      <c r="I18" s="18" t="s">
        <v>349</v>
      </c>
      <c r="J18" s="20" t="s">
        <v>349</v>
      </c>
      <c r="K18" s="18" t="n">
        <v>0.32585429</v>
      </c>
      <c r="L18" s="20" t="n">
        <v>0.33431914</v>
      </c>
      <c r="M18" s="18" t="n">
        <v>0</v>
      </c>
      <c r="N18" s="20" t="n">
        <v>0</v>
      </c>
      <c r="O18" s="18" t="n">
        <v>0</v>
      </c>
      <c r="P18" s="20" t="n">
        <v>0</v>
      </c>
      <c r="Q18" s="18" t="n">
        <v>18.66088349</v>
      </c>
      <c r="R18" s="20" t="n">
        <v>2.54620529</v>
      </c>
    </row>
    <row r="19" spans="1:18">
      <c r="A19" s="15" t="s">
        <v>361</v>
      </c>
      <c r="B19" s="17" t="n">
        <v>2808</v>
      </c>
      <c r="C19" s="18">
        <f>(2465.0/B19*100)</f>
        <v/>
      </c>
      <c r="D19" s="19" t="n">
        <v>343</v>
      </c>
      <c r="E19" s="18" t="n">
        <v>58.52226632</v>
      </c>
      <c r="F19" s="20" t="n">
        <v>2.32580771</v>
      </c>
      <c r="G19" s="18" t="n">
        <v>24.92007223</v>
      </c>
      <c r="H19" s="20" t="n">
        <v>2.0426742</v>
      </c>
      <c r="I19" s="18" t="s">
        <v>349</v>
      </c>
      <c r="J19" s="20" t="s">
        <v>349</v>
      </c>
      <c r="K19" s="18" t="n">
        <v>0</v>
      </c>
      <c r="L19" s="20" t="n">
        <v>0</v>
      </c>
      <c r="M19" s="18" t="n">
        <v>0</v>
      </c>
      <c r="N19" s="20" t="n">
        <v>0</v>
      </c>
      <c r="O19" s="18" t="n">
        <v>0</v>
      </c>
      <c r="P19" s="20" t="n">
        <v>0</v>
      </c>
      <c r="Q19" s="18" t="n">
        <v>16.55766145</v>
      </c>
      <c r="R19" s="20" t="n">
        <v>2.22588996</v>
      </c>
    </row>
    <row r="20" spans="1:18">
      <c r="A20" s="15" t="s">
        <v>362</v>
      </c>
      <c r="B20" s="17" t="n">
        <v>1630</v>
      </c>
      <c r="C20" s="18">
        <f>(1430.0/B20*100)</f>
        <v/>
      </c>
      <c r="D20" s="19" t="n">
        <v>200</v>
      </c>
      <c r="E20" s="18" t="n">
        <v>64.95804317</v>
      </c>
      <c r="F20" s="20" t="n">
        <v>2.87233849</v>
      </c>
      <c r="G20" s="18" t="n">
        <v>25.01767704</v>
      </c>
      <c r="H20" s="20" t="n">
        <v>2.73733952</v>
      </c>
      <c r="I20" s="18" t="s">
        <v>349</v>
      </c>
      <c r="J20" s="20" t="s">
        <v>349</v>
      </c>
      <c r="K20" s="18" t="n">
        <v>0.47022099</v>
      </c>
      <c r="L20" s="20" t="n">
        <v>0.47054523</v>
      </c>
      <c r="M20" s="18" t="n">
        <v>1.18891499</v>
      </c>
      <c r="N20" s="20" t="n">
        <v>0.70059363</v>
      </c>
      <c r="O20" s="18" t="n">
        <v>0</v>
      </c>
      <c r="P20" s="20" t="n">
        <v>0</v>
      </c>
      <c r="Q20" s="18" t="n">
        <v>8.365143809999999</v>
      </c>
      <c r="R20" s="20" t="n">
        <v>1.84192946</v>
      </c>
    </row>
    <row r="21" spans="1:18">
      <c r="A21" s="15" t="s">
        <v>363</v>
      </c>
      <c r="B21" s="17" t="n">
        <v>2908</v>
      </c>
      <c r="C21" s="18">
        <f>(2437.0/B21*100)</f>
        <v/>
      </c>
      <c r="D21" s="19" t="n">
        <v>471</v>
      </c>
      <c r="E21" s="18" t="n">
        <v>68.89745885000001</v>
      </c>
      <c r="F21" s="20" t="n">
        <v>2.17690083</v>
      </c>
      <c r="G21" s="18" t="n">
        <v>21.18282954</v>
      </c>
      <c r="H21" s="20" t="n">
        <v>2.19186882</v>
      </c>
      <c r="I21" s="18" t="s">
        <v>349</v>
      </c>
      <c r="J21" s="20" t="s">
        <v>349</v>
      </c>
      <c r="K21" s="18" t="n">
        <v>0</v>
      </c>
      <c r="L21" s="20" t="n">
        <v>0</v>
      </c>
      <c r="M21" s="18" t="n">
        <v>0</v>
      </c>
      <c r="N21" s="20" t="n">
        <v>0</v>
      </c>
      <c r="O21" s="18" t="n">
        <v>0</v>
      </c>
      <c r="P21" s="20" t="n">
        <v>0</v>
      </c>
      <c r="Q21" s="18" t="n">
        <v>9.91971161</v>
      </c>
      <c r="R21" s="20" t="n">
        <v>1.33136378</v>
      </c>
    </row>
    <row r="22" spans="1:18">
      <c r="A22" s="15" t="s">
        <v>364</v>
      </c>
      <c r="B22" s="17" t="n">
        <v>2931</v>
      </c>
      <c r="C22" s="18">
        <f>(2554.0/B22*100)</f>
        <v/>
      </c>
      <c r="D22" s="19" t="n">
        <v>377</v>
      </c>
      <c r="E22" s="18" t="n">
        <v>62.62355851</v>
      </c>
      <c r="F22" s="20" t="n">
        <v>2.84591621</v>
      </c>
      <c r="G22" s="18" t="n">
        <v>13.93454562</v>
      </c>
      <c r="H22" s="20" t="n">
        <v>2.28410413</v>
      </c>
      <c r="I22" s="18" t="s">
        <v>349</v>
      </c>
      <c r="J22" s="20" t="s">
        <v>349</v>
      </c>
      <c r="K22" s="18" t="n">
        <v>0.60421303</v>
      </c>
      <c r="L22" s="20" t="n">
        <v>0.47198877</v>
      </c>
      <c r="M22" s="18" t="n">
        <v>0</v>
      </c>
      <c r="N22" s="20" t="n">
        <v>0</v>
      </c>
      <c r="O22" s="18" t="n">
        <v>0</v>
      </c>
      <c r="P22" s="20" t="n">
        <v>0</v>
      </c>
      <c r="Q22" s="18" t="n">
        <v>22.83768284</v>
      </c>
      <c r="R22" s="20" t="n">
        <v>2.30317449</v>
      </c>
    </row>
    <row r="23" spans="1:18">
      <c r="A23" s="15" t="s">
        <v>365</v>
      </c>
      <c r="B23" s="17" t="n">
        <v>5791</v>
      </c>
      <c r="C23" s="18">
        <f>(5092.0/B23*100)</f>
        <v/>
      </c>
      <c r="D23" s="19" t="n">
        <v>699</v>
      </c>
      <c r="E23" s="18" t="n">
        <v>51.66725654</v>
      </c>
      <c r="F23" s="20" t="n">
        <v>2.68948037</v>
      </c>
      <c r="G23" s="18" t="n">
        <v>25.84051704</v>
      </c>
      <c r="H23" s="20" t="n">
        <v>2.20748762</v>
      </c>
      <c r="I23" s="18" t="s">
        <v>349</v>
      </c>
      <c r="J23" s="20" t="s">
        <v>349</v>
      </c>
      <c r="K23" s="18" t="n">
        <v>0.01204329</v>
      </c>
      <c r="L23" s="20" t="n">
        <v>0.01210956</v>
      </c>
      <c r="M23" s="18" t="n">
        <v>0.00380457</v>
      </c>
      <c r="N23" s="20" t="n">
        <v>0.0038399</v>
      </c>
      <c r="O23" s="18" t="n">
        <v>0</v>
      </c>
      <c r="P23" s="20" t="n">
        <v>0</v>
      </c>
      <c r="Q23" s="18" t="n">
        <v>22.47637856</v>
      </c>
      <c r="R23" s="20" t="n">
        <v>2.49363731</v>
      </c>
    </row>
    <row r="24" spans="1:18">
      <c r="A24" s="15" t="s">
        <v>366</v>
      </c>
      <c r="B24" s="17" t="n">
        <v>3338</v>
      </c>
      <c r="C24" s="18">
        <f>(2910.0/B24*100)</f>
        <v/>
      </c>
      <c r="D24" s="19" t="n">
        <v>428</v>
      </c>
      <c r="E24" s="18" t="n">
        <v>44.19971932</v>
      </c>
      <c r="F24" s="20" t="n">
        <v>2.3415716</v>
      </c>
      <c r="G24" s="18" t="n">
        <v>40.07029144</v>
      </c>
      <c r="H24" s="20" t="n">
        <v>2.29905818</v>
      </c>
      <c r="I24" s="18" t="s">
        <v>349</v>
      </c>
      <c r="J24" s="20" t="s">
        <v>349</v>
      </c>
      <c r="K24" s="18" t="n">
        <v>0.21543772</v>
      </c>
      <c r="L24" s="20" t="n">
        <v>0.21727958</v>
      </c>
      <c r="M24" s="18" t="n">
        <v>0.22809391</v>
      </c>
      <c r="N24" s="20" t="n">
        <v>0.22853349</v>
      </c>
      <c r="O24" s="18" t="n">
        <v>0</v>
      </c>
      <c r="P24" s="20" t="n">
        <v>0</v>
      </c>
      <c r="Q24" s="18" t="n">
        <v>15.2864576</v>
      </c>
      <c r="R24" s="20" t="n">
        <v>1.51997621</v>
      </c>
    </row>
    <row r="25" spans="1:18">
      <c r="A25" s="15" t="s">
        <v>367</v>
      </c>
      <c r="B25" s="17" t="n">
        <v>2912</v>
      </c>
      <c r="C25" s="18">
        <f>(2563.0/B25*100)</f>
        <v/>
      </c>
      <c r="D25" s="19" t="n">
        <v>349</v>
      </c>
      <c r="E25" s="18" t="n">
        <v>52.19837451</v>
      </c>
      <c r="F25" s="20" t="n">
        <v>2.66955059</v>
      </c>
      <c r="G25" s="18" t="n">
        <v>36.67060434</v>
      </c>
      <c r="H25" s="20" t="n">
        <v>2.72161442</v>
      </c>
      <c r="I25" s="18" t="s">
        <v>349</v>
      </c>
      <c r="J25" s="20" t="s">
        <v>349</v>
      </c>
      <c r="K25" s="18" t="n">
        <v>0</v>
      </c>
      <c r="L25" s="20" t="n">
        <v>0</v>
      </c>
      <c r="M25" s="18" t="n">
        <v>0</v>
      </c>
      <c r="N25" s="20" t="n">
        <v>0</v>
      </c>
      <c r="O25" s="18" t="n">
        <v>0</v>
      </c>
      <c r="P25" s="20" t="n">
        <v>0</v>
      </c>
      <c r="Q25" s="18" t="n">
        <v>11.13102115</v>
      </c>
      <c r="R25" s="20" t="n">
        <v>1.88527922</v>
      </c>
    </row>
    <row r="26" spans="1:18">
      <c r="A26" s="15" t="s">
        <v>368</v>
      </c>
      <c r="B26" s="17" t="n">
        <v>2450</v>
      </c>
      <c r="C26" s="18">
        <f>(2161.0/B26*100)</f>
        <v/>
      </c>
      <c r="D26" s="19" t="n">
        <v>289</v>
      </c>
      <c r="E26" s="18" t="n">
        <v>65.26441843000001</v>
      </c>
      <c r="F26" s="20" t="n">
        <v>2.6678344</v>
      </c>
      <c r="G26" s="18" t="n">
        <v>23.10032995</v>
      </c>
      <c r="H26" s="20" t="n">
        <v>2.2800309</v>
      </c>
      <c r="I26" s="18" t="s">
        <v>349</v>
      </c>
      <c r="J26" s="20" t="s">
        <v>349</v>
      </c>
      <c r="K26" s="18" t="n">
        <v>0</v>
      </c>
      <c r="L26" s="20" t="n">
        <v>0</v>
      </c>
      <c r="M26" s="18" t="n">
        <v>0</v>
      </c>
      <c r="N26" s="20" t="n">
        <v>0</v>
      </c>
      <c r="O26" s="18" t="n">
        <v>0</v>
      </c>
      <c r="P26" s="20" t="n">
        <v>0</v>
      </c>
      <c r="Q26" s="18" t="n">
        <v>11.63525163</v>
      </c>
      <c r="R26" s="20" t="n">
        <v>2.02533782</v>
      </c>
    </row>
    <row r="27" spans="1:18">
      <c r="A27" s="15" t="s">
        <v>369</v>
      </c>
      <c r="B27" s="17" t="n">
        <v>2616</v>
      </c>
      <c r="C27" s="18">
        <f>(2290.0/B27*100)</f>
        <v/>
      </c>
      <c r="D27" s="19" t="n">
        <v>326</v>
      </c>
      <c r="E27" s="18" t="n">
        <v>61.5809987</v>
      </c>
      <c r="F27" s="20" t="n">
        <v>2.71289241</v>
      </c>
      <c r="G27" s="18" t="n">
        <v>23.66719035</v>
      </c>
      <c r="H27" s="20" t="n">
        <v>2.2738233</v>
      </c>
      <c r="I27" s="18" t="s">
        <v>349</v>
      </c>
      <c r="J27" s="20" t="s">
        <v>349</v>
      </c>
      <c r="K27" s="18" t="n">
        <v>0.62985523</v>
      </c>
      <c r="L27" s="20" t="n">
        <v>0.44986737</v>
      </c>
      <c r="M27" s="18" t="n">
        <v>0</v>
      </c>
      <c r="N27" s="20" t="n">
        <v>0</v>
      </c>
      <c r="O27" s="18" t="n">
        <v>0</v>
      </c>
      <c r="P27" s="20" t="n">
        <v>0</v>
      </c>
      <c r="Q27" s="18" t="n">
        <v>14.12195572</v>
      </c>
      <c r="R27" s="20" t="n">
        <v>1.91622742</v>
      </c>
    </row>
    <row r="28" spans="1:18">
      <c r="A28" s="15" t="s">
        <v>370</v>
      </c>
      <c r="B28" s="17" t="n">
        <v>3765</v>
      </c>
      <c r="C28" s="18">
        <f>(3359.0/B28*100)</f>
        <v/>
      </c>
      <c r="D28" s="19" t="n">
        <v>406</v>
      </c>
      <c r="E28" s="18" t="n">
        <v>77.55210504</v>
      </c>
      <c r="F28" s="20" t="n">
        <v>2.46404011</v>
      </c>
      <c r="G28" s="18" t="n">
        <v>10.53668067</v>
      </c>
      <c r="H28" s="20" t="n">
        <v>1.65871559</v>
      </c>
      <c r="I28" s="18" t="s">
        <v>349</v>
      </c>
      <c r="J28" s="20" t="s">
        <v>349</v>
      </c>
      <c r="K28" s="18" t="n">
        <v>0.75929661</v>
      </c>
      <c r="L28" s="20" t="n">
        <v>0.55754257</v>
      </c>
      <c r="M28" s="18" t="n">
        <v>0</v>
      </c>
      <c r="N28" s="20" t="n">
        <v>0</v>
      </c>
      <c r="O28" s="18" t="n">
        <v>0</v>
      </c>
      <c r="P28" s="20" t="n">
        <v>0</v>
      </c>
      <c r="Q28" s="18" t="n">
        <v>11.15191768</v>
      </c>
      <c r="R28" s="20" t="n">
        <v>1.56286219</v>
      </c>
    </row>
    <row r="29" spans="1:18">
      <c r="A29" s="15" t="s">
        <v>371</v>
      </c>
      <c r="B29" s="17" t="n">
        <v>2685</v>
      </c>
      <c r="C29" s="18">
        <f>(2388.0/B29*100)</f>
        <v/>
      </c>
      <c r="D29" s="19" t="n">
        <v>297</v>
      </c>
      <c r="E29" s="18" t="n">
        <v>72.45087869</v>
      </c>
      <c r="F29" s="20" t="n">
        <v>2.6174144</v>
      </c>
      <c r="G29" s="18" t="n">
        <v>19.79801084</v>
      </c>
      <c r="H29" s="20" t="n">
        <v>2.38650128</v>
      </c>
      <c r="I29" s="18" t="s">
        <v>349</v>
      </c>
      <c r="J29" s="20" t="s">
        <v>349</v>
      </c>
      <c r="K29" s="18" t="n">
        <v>0.34441581</v>
      </c>
      <c r="L29" s="20" t="n">
        <v>0.34410205</v>
      </c>
      <c r="M29" s="18" t="n">
        <v>0.25885506</v>
      </c>
      <c r="N29" s="20" t="n">
        <v>0.24669076</v>
      </c>
      <c r="O29" s="18" t="n">
        <v>0</v>
      </c>
      <c r="P29" s="20" t="n">
        <v>0</v>
      </c>
      <c r="Q29" s="18" t="n">
        <v>7.14783961</v>
      </c>
      <c r="R29" s="20" t="n">
        <v>1.56479803</v>
      </c>
    </row>
    <row r="30" spans="1:18">
      <c r="A30" s="15" t="s">
        <v>372</v>
      </c>
      <c r="B30" s="17" t="n">
        <v>2263</v>
      </c>
      <c r="C30" s="18">
        <f>(1988.0/B30*100)</f>
        <v/>
      </c>
      <c r="D30" s="19" t="n">
        <v>275</v>
      </c>
      <c r="E30" s="18" t="n">
        <v>57.08707316</v>
      </c>
      <c r="F30" s="20" t="n">
        <v>3.03760643</v>
      </c>
      <c r="G30" s="18" t="n">
        <v>28.38669631</v>
      </c>
      <c r="H30" s="20" t="n">
        <v>2.92527459</v>
      </c>
      <c r="I30" s="18" t="s">
        <v>349</v>
      </c>
      <c r="J30" s="20" t="s">
        <v>349</v>
      </c>
      <c r="K30" s="18" t="n">
        <v>0.34145997</v>
      </c>
      <c r="L30" s="20" t="n">
        <v>0.50134393</v>
      </c>
      <c r="M30" s="18" t="n">
        <v>0.72492701</v>
      </c>
      <c r="N30" s="20" t="n">
        <v>0.65133367</v>
      </c>
      <c r="O30" s="18" t="n">
        <v>0</v>
      </c>
      <c r="P30" s="20" t="n">
        <v>0</v>
      </c>
      <c r="Q30" s="18" t="n">
        <v>13.45984355</v>
      </c>
      <c r="R30" s="20" t="n">
        <v>2.00277936</v>
      </c>
    </row>
    <row r="31" spans="1:18">
      <c r="A31" s="15" t="s">
        <v>373</v>
      </c>
      <c r="B31" s="17" t="n">
        <v>2750</v>
      </c>
      <c r="C31" s="18">
        <f>(2411.0/B31*100)</f>
        <v/>
      </c>
      <c r="D31" s="19" t="n">
        <v>339</v>
      </c>
      <c r="E31" s="18" t="n">
        <v>58.1991853</v>
      </c>
      <c r="F31" s="20" t="n">
        <v>2.91112822</v>
      </c>
      <c r="G31" s="18" t="n">
        <v>25.80922907</v>
      </c>
      <c r="H31" s="20" t="n">
        <v>2.73416812</v>
      </c>
      <c r="I31" s="18" t="s">
        <v>349</v>
      </c>
      <c r="J31" s="20" t="s">
        <v>349</v>
      </c>
      <c r="K31" s="18" t="n">
        <v>0.89386924</v>
      </c>
      <c r="L31" s="20" t="n">
        <v>0.50775166</v>
      </c>
      <c r="M31" s="18" t="n">
        <v>0.30077637</v>
      </c>
      <c r="N31" s="20" t="n">
        <v>0.25299476</v>
      </c>
      <c r="O31" s="18" t="n">
        <v>0</v>
      </c>
      <c r="P31" s="20" t="n">
        <v>0</v>
      </c>
      <c r="Q31" s="18" t="n">
        <v>14.79694002</v>
      </c>
      <c r="R31" s="20" t="n">
        <v>2.01969143</v>
      </c>
    </row>
    <row r="32" spans="1:18">
      <c r="A32" s="15" t="s">
        <v>374</v>
      </c>
      <c r="B32" s="17" t="n">
        <v>2269</v>
      </c>
      <c r="C32" s="18">
        <f>(1873.0/B32*100)</f>
        <v/>
      </c>
      <c r="D32" s="19" t="n">
        <v>396</v>
      </c>
      <c r="E32" s="18" t="n">
        <v>55.23610028</v>
      </c>
      <c r="F32" s="20" t="n">
        <v>2.54736044</v>
      </c>
      <c r="G32" s="18" t="n">
        <v>28.19357065</v>
      </c>
      <c r="H32" s="20" t="n">
        <v>2.16260572</v>
      </c>
      <c r="I32" s="18" t="s">
        <v>349</v>
      </c>
      <c r="J32" s="20" t="s">
        <v>349</v>
      </c>
      <c r="K32" s="18" t="n">
        <v>0</v>
      </c>
      <c r="L32" s="20" t="n">
        <v>0</v>
      </c>
      <c r="M32" s="18" t="n">
        <v>0</v>
      </c>
      <c r="N32" s="20" t="n">
        <v>0</v>
      </c>
      <c r="O32" s="18" t="n">
        <v>0</v>
      </c>
      <c r="P32" s="20" t="n">
        <v>0</v>
      </c>
      <c r="Q32" s="18" t="n">
        <v>16.57032906</v>
      </c>
      <c r="R32" s="20" t="n">
        <v>1.83982815</v>
      </c>
    </row>
    <row r="33" spans="1:18">
      <c r="A33" s="15" t="s">
        <v>375</v>
      </c>
      <c r="B33" s="17" t="n">
        <v>3674</v>
      </c>
      <c r="C33" s="18">
        <f>(3238.0/B33*100)</f>
        <v/>
      </c>
      <c r="D33" s="19" t="n">
        <v>436</v>
      </c>
      <c r="E33" s="18" t="n">
        <v>58.60385487</v>
      </c>
      <c r="F33" s="20" t="n">
        <v>2.41673475</v>
      </c>
      <c r="G33" s="18" t="n">
        <v>21.78787714</v>
      </c>
      <c r="H33" s="20" t="n">
        <v>2.13193897</v>
      </c>
      <c r="I33" s="18" t="s">
        <v>349</v>
      </c>
      <c r="J33" s="20" t="s">
        <v>349</v>
      </c>
      <c r="K33" s="18" t="n">
        <v>0.42822277</v>
      </c>
      <c r="L33" s="20" t="n">
        <v>0.43799116</v>
      </c>
      <c r="M33" s="18" t="n">
        <v>0</v>
      </c>
      <c r="N33" s="20" t="n">
        <v>0</v>
      </c>
      <c r="O33" s="18" t="n">
        <v>0</v>
      </c>
      <c r="P33" s="20" t="n">
        <v>0</v>
      </c>
      <c r="Q33" s="18" t="n">
        <v>19.18004522</v>
      </c>
      <c r="R33" s="20" t="n">
        <v>2.0915692</v>
      </c>
    </row>
    <row r="34" spans="1:18">
      <c r="A34" s="15" t="s">
        <v>376</v>
      </c>
      <c r="B34" s="17" t="n">
        <v>3315</v>
      </c>
      <c r="C34" s="18">
        <f>(2902.0/B34*100)</f>
        <v/>
      </c>
      <c r="D34" s="19" t="n">
        <v>413</v>
      </c>
      <c r="E34" s="18" t="n">
        <v>65.56189252999999</v>
      </c>
      <c r="F34" s="20" t="n">
        <v>2.61438394</v>
      </c>
      <c r="G34" s="18" t="n">
        <v>23.52655722</v>
      </c>
      <c r="H34" s="20" t="n">
        <v>2.77371029</v>
      </c>
      <c r="I34" s="18" t="s">
        <v>349</v>
      </c>
      <c r="J34" s="20" t="s">
        <v>349</v>
      </c>
      <c r="K34" s="18" t="n">
        <v>0</v>
      </c>
      <c r="L34" s="20" t="n">
        <v>0</v>
      </c>
      <c r="M34" s="18" t="n">
        <v>0</v>
      </c>
      <c r="N34" s="20" t="n">
        <v>0</v>
      </c>
      <c r="O34" s="18" t="n">
        <v>0</v>
      </c>
      <c r="P34" s="20" t="n">
        <v>0</v>
      </c>
      <c r="Q34" s="18" t="n">
        <v>10.91155025</v>
      </c>
      <c r="R34" s="20" t="n">
        <v>1.5541921</v>
      </c>
    </row>
    <row r="35" spans="1:18">
      <c r="A35" s="15" t="s">
        <v>377</v>
      </c>
      <c r="B35" s="17" t="n">
        <v>3505</v>
      </c>
      <c r="C35" s="18">
        <f>(3061.0/B35*100)</f>
        <v/>
      </c>
      <c r="D35" s="19" t="n">
        <v>444</v>
      </c>
      <c r="E35" s="18" t="n">
        <v>54.90354163</v>
      </c>
      <c r="F35" s="20" t="n">
        <v>2.61475652</v>
      </c>
      <c r="G35" s="18" t="n">
        <v>31.66414094</v>
      </c>
      <c r="H35" s="20" t="n">
        <v>2.84408769</v>
      </c>
      <c r="I35" s="18" t="s">
        <v>349</v>
      </c>
      <c r="J35" s="20" t="s">
        <v>349</v>
      </c>
      <c r="K35" s="18" t="n">
        <v>0.21989663</v>
      </c>
      <c r="L35" s="20" t="n">
        <v>0.15842578</v>
      </c>
      <c r="M35" s="18" t="n">
        <v>0</v>
      </c>
      <c r="N35" s="20" t="n">
        <v>0</v>
      </c>
      <c r="O35" s="18" t="n">
        <v>0</v>
      </c>
      <c r="P35" s="20" t="n">
        <v>0</v>
      </c>
      <c r="Q35" s="18" t="n">
        <v>13.2124208</v>
      </c>
      <c r="R35" s="20" t="n">
        <v>1.89361455</v>
      </c>
    </row>
    <row r="36" spans="1:18">
      <c r="A36" s="15" t="s">
        <v>378</v>
      </c>
      <c r="B36" s="17" t="n">
        <v>3332</v>
      </c>
      <c r="C36" s="18">
        <f>(2922.0/B36*100)</f>
        <v/>
      </c>
      <c r="D36" s="19" t="n">
        <v>410</v>
      </c>
      <c r="E36" s="18" t="n">
        <v>58.91859343</v>
      </c>
      <c r="F36" s="20" t="n">
        <v>2.80912742</v>
      </c>
      <c r="G36" s="18" t="n">
        <v>21.36818733</v>
      </c>
      <c r="H36" s="20" t="n">
        <v>1.94043982</v>
      </c>
      <c r="I36" s="18" t="s">
        <v>349</v>
      </c>
      <c r="J36" s="20" t="s">
        <v>349</v>
      </c>
      <c r="K36" s="18" t="n">
        <v>0.78591877</v>
      </c>
      <c r="L36" s="20" t="n">
        <v>0.48964244</v>
      </c>
      <c r="M36" s="18" t="n">
        <v>0.45355754</v>
      </c>
      <c r="N36" s="20" t="n">
        <v>0.45779879</v>
      </c>
      <c r="O36" s="18" t="n">
        <v>0</v>
      </c>
      <c r="P36" s="20" t="n">
        <v>0</v>
      </c>
      <c r="Q36" s="18" t="n">
        <v>18.47374292</v>
      </c>
      <c r="R36" s="20" t="n">
        <v>1.64538273</v>
      </c>
    </row>
    <row r="37" spans="1:18">
      <c r="A37" s="15" t="s">
        <v>379</v>
      </c>
      <c r="B37" s="17" t="n">
        <v>2727</v>
      </c>
      <c r="C37" s="18">
        <f>(2409.0/B37*100)</f>
        <v/>
      </c>
      <c r="D37" s="19" t="n">
        <v>318</v>
      </c>
      <c r="E37" s="18" t="n">
        <v>48.94584628</v>
      </c>
      <c r="F37" s="20" t="n">
        <v>2.8121464</v>
      </c>
      <c r="G37" s="18" t="n">
        <v>31.5669015</v>
      </c>
      <c r="H37" s="20" t="n">
        <v>3.08885422</v>
      </c>
      <c r="I37" s="18" t="s">
        <v>349</v>
      </c>
      <c r="J37" s="20" t="s">
        <v>349</v>
      </c>
      <c r="K37" s="18" t="n">
        <v>1.43548573</v>
      </c>
      <c r="L37" s="20" t="n">
        <v>0.73781086</v>
      </c>
      <c r="M37" s="18" t="n">
        <v>0</v>
      </c>
      <c r="N37" s="20" t="n">
        <v>0</v>
      </c>
      <c r="O37" s="18" t="n">
        <v>0</v>
      </c>
      <c r="P37" s="20" t="n">
        <v>0</v>
      </c>
      <c r="Q37" s="18" t="n">
        <v>18.05176649</v>
      </c>
      <c r="R37" s="20" t="n">
        <v>2.47575039</v>
      </c>
    </row>
    <row r="38" spans="1:18">
      <c r="A38" s="15" t="s">
        <v>380</v>
      </c>
      <c r="B38" s="17" t="n">
        <v>3053</v>
      </c>
      <c r="C38" s="18">
        <f>(2590.0/B38*100)</f>
        <v/>
      </c>
      <c r="D38" s="19" t="n">
        <v>463</v>
      </c>
      <c r="E38" s="18" t="n">
        <v>45.87279956</v>
      </c>
      <c r="F38" s="20" t="n">
        <v>2.94830907</v>
      </c>
      <c r="G38" s="18" t="n">
        <v>44.54920943</v>
      </c>
      <c r="H38" s="20" t="n">
        <v>3.39213922</v>
      </c>
      <c r="I38" s="18" t="s">
        <v>349</v>
      </c>
      <c r="J38" s="20" t="s">
        <v>349</v>
      </c>
      <c r="K38" s="18" t="n">
        <v>0.05627978</v>
      </c>
      <c r="L38" s="20" t="n">
        <v>0.05652856</v>
      </c>
      <c r="M38" s="18" t="n">
        <v>0.03429611</v>
      </c>
      <c r="N38" s="20" t="n">
        <v>0.03333732</v>
      </c>
      <c r="O38" s="18" t="n">
        <v>0</v>
      </c>
      <c r="P38" s="20" t="n">
        <v>0</v>
      </c>
      <c r="Q38" s="18" t="n">
        <v>9.48741512</v>
      </c>
      <c r="R38" s="20" t="n">
        <v>1.70802205</v>
      </c>
    </row>
    <row r="39" spans="1:18">
      <c r="A39" s="15" t="s">
        <v>381</v>
      </c>
      <c r="B39" s="17" t="n">
        <v>2957</v>
      </c>
      <c r="C39" s="18">
        <f>(2593.0/B39*100)</f>
        <v/>
      </c>
      <c r="D39" s="19" t="n">
        <v>364</v>
      </c>
      <c r="E39" s="18" t="n">
        <v>75.35332393</v>
      </c>
      <c r="F39" s="20" t="n">
        <v>1.86343422</v>
      </c>
      <c r="G39" s="18" t="n">
        <v>8.667576499999999</v>
      </c>
      <c r="H39" s="20" t="n">
        <v>1.52718313</v>
      </c>
      <c r="I39" s="18" t="s">
        <v>349</v>
      </c>
      <c r="J39" s="20" t="s">
        <v>349</v>
      </c>
      <c r="K39" s="18" t="n">
        <v>0.6857607100000001</v>
      </c>
      <c r="L39" s="20" t="n">
        <v>0.41672458</v>
      </c>
      <c r="M39" s="18" t="n">
        <v>0</v>
      </c>
      <c r="N39" s="20" t="n">
        <v>0</v>
      </c>
      <c r="O39" s="18" t="n">
        <v>0</v>
      </c>
      <c r="P39" s="20" t="n">
        <v>0</v>
      </c>
      <c r="Q39" s="18" t="n">
        <v>15.29333887</v>
      </c>
      <c r="R39" s="20" t="n">
        <v>1.95971011</v>
      </c>
    </row>
    <row r="40" spans="1:18">
      <c r="A40" s="15" t="s">
        <v>382</v>
      </c>
      <c r="B40" s="17" t="n">
        <v>7235</v>
      </c>
      <c r="C40" s="18">
        <f>(6335.0/B40*100)</f>
        <v/>
      </c>
      <c r="D40" s="19" t="n">
        <v>900</v>
      </c>
      <c r="E40" s="18" t="n">
        <v>64.99728854999999</v>
      </c>
      <c r="F40" s="20" t="n">
        <v>2.06219362</v>
      </c>
      <c r="G40" s="18" t="n">
        <v>21.79990908</v>
      </c>
      <c r="H40" s="20" t="n">
        <v>2.11031031</v>
      </c>
      <c r="I40" s="18" t="s">
        <v>349</v>
      </c>
      <c r="J40" s="20" t="s">
        <v>349</v>
      </c>
      <c r="K40" s="18" t="n">
        <v>0.27564964</v>
      </c>
      <c r="L40" s="20" t="n">
        <v>0.19500545</v>
      </c>
      <c r="M40" s="18" t="n">
        <v>0.17864357</v>
      </c>
      <c r="N40" s="20" t="n">
        <v>0.17162952</v>
      </c>
      <c r="O40" s="18" t="n">
        <v>0</v>
      </c>
      <c r="P40" s="20" t="n">
        <v>0</v>
      </c>
      <c r="Q40" s="18" t="n">
        <v>12.74850916</v>
      </c>
      <c r="R40" s="20" t="n">
        <v>1.79484755</v>
      </c>
    </row>
    <row r="41" spans="1:18">
      <c r="A41" s="15" t="s">
        <v>383</v>
      </c>
      <c r="B41" s="17" t="n">
        <v>2858</v>
      </c>
      <c r="C41" s="18">
        <f>(2514.0/B41*100)</f>
        <v/>
      </c>
      <c r="D41" s="19" t="n">
        <v>344</v>
      </c>
      <c r="E41" s="18" t="n">
        <v>82.75494404</v>
      </c>
      <c r="F41" s="20" t="n">
        <v>1.96196927</v>
      </c>
      <c r="G41" s="18" t="n">
        <v>13.20866022</v>
      </c>
      <c r="H41" s="20" t="n">
        <v>1.87760296</v>
      </c>
      <c r="I41" s="18" t="s">
        <v>349</v>
      </c>
      <c r="J41" s="20" t="s">
        <v>349</v>
      </c>
      <c r="K41" s="18" t="n">
        <v>1.31345995</v>
      </c>
      <c r="L41" s="20" t="n">
        <v>0.91485277</v>
      </c>
      <c r="M41" s="18" t="n">
        <v>0</v>
      </c>
      <c r="N41" s="20" t="n">
        <v>0</v>
      </c>
      <c r="O41" s="18" t="n">
        <v>0</v>
      </c>
      <c r="P41" s="20" t="n">
        <v>0</v>
      </c>
      <c r="Q41" s="18" t="n">
        <v>2.7229358</v>
      </c>
      <c r="R41" s="20" t="n">
        <v>0.76295682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(9885.0/B46*100)</f>
        <v/>
      </c>
      <c r="D46" s="19" t="n">
        <v>1183</v>
      </c>
      <c r="E46" s="18" t="n">
        <v>65.68968924000001</v>
      </c>
      <c r="F46" s="20" t="n">
        <v>1.96493681</v>
      </c>
      <c r="G46" s="18" t="n">
        <v>8.12823202</v>
      </c>
      <c r="H46" s="20" t="n">
        <v>0.9526258399999999</v>
      </c>
      <c r="I46" s="18" t="s">
        <v>349</v>
      </c>
      <c r="J46" s="20" t="s">
        <v>349</v>
      </c>
      <c r="K46" s="18" t="n">
        <v>0.87467032</v>
      </c>
      <c r="L46" s="20" t="n">
        <v>0.29098808</v>
      </c>
      <c r="M46" s="18" t="n">
        <v>0.44440512</v>
      </c>
      <c r="N46" s="20" t="n">
        <v>0.26183658</v>
      </c>
      <c r="O46" s="18" t="n">
        <v>0</v>
      </c>
      <c r="P46" s="20" t="n">
        <v>0</v>
      </c>
      <c r="Q46" s="18" t="n">
        <v>24.8630033</v>
      </c>
      <c r="R46" s="20" t="n">
        <v>2.01403442</v>
      </c>
    </row>
    <row r="47" spans="1:18">
      <c r="A47" s="15" t="s">
        <v>389</v>
      </c>
      <c r="B47" s="17" t="n">
        <v>3105</v>
      </c>
      <c r="C47" s="18">
        <f>(2725.0/B47*100)</f>
        <v/>
      </c>
      <c r="D47" s="19" t="n">
        <v>380</v>
      </c>
      <c r="E47" s="18" t="n">
        <v>68.46177263</v>
      </c>
      <c r="F47" s="20" t="n">
        <v>2.60558511</v>
      </c>
      <c r="G47" s="18" t="n">
        <v>17.02996537</v>
      </c>
      <c r="H47" s="20" t="n">
        <v>2.04416531</v>
      </c>
      <c r="I47" s="18" t="s">
        <v>349</v>
      </c>
      <c r="J47" s="20" t="s">
        <v>349</v>
      </c>
      <c r="K47" s="18" t="n">
        <v>0.2429216</v>
      </c>
      <c r="L47" s="20" t="n">
        <v>0.24486197</v>
      </c>
      <c r="M47" s="18" t="n">
        <v>0</v>
      </c>
      <c r="N47" s="20" t="n">
        <v>0</v>
      </c>
      <c r="O47" s="18" t="n">
        <v>0</v>
      </c>
      <c r="P47" s="20" t="n">
        <v>0</v>
      </c>
      <c r="Q47" s="18" t="n">
        <v>14.26534039</v>
      </c>
      <c r="R47" s="20" t="n">
        <v>1.73023325</v>
      </c>
    </row>
    <row r="48" spans="1:18">
      <c r="A48" s="15" t="s">
        <v>390</v>
      </c>
      <c r="B48" s="17" t="n">
        <v>5159</v>
      </c>
      <c r="C48" s="18">
        <f>(4533.0/B48*100)</f>
        <v/>
      </c>
      <c r="D48" s="19" t="n">
        <v>626</v>
      </c>
      <c r="E48" s="18" t="n">
        <v>39.16597642</v>
      </c>
      <c r="F48" s="20" t="n">
        <v>2.56382097</v>
      </c>
      <c r="G48" s="18" t="n">
        <v>55.107721</v>
      </c>
      <c r="H48" s="20" t="n">
        <v>2.70681837</v>
      </c>
      <c r="I48" s="18" t="s">
        <v>349</v>
      </c>
      <c r="J48" s="20" t="s">
        <v>349</v>
      </c>
      <c r="K48" s="18" t="n">
        <v>0.51243343</v>
      </c>
      <c r="L48" s="20" t="n">
        <v>0.35363065</v>
      </c>
      <c r="M48" s="18" t="n">
        <v>0</v>
      </c>
      <c r="N48" s="20" t="n">
        <v>0</v>
      </c>
      <c r="O48" s="18" t="n">
        <v>0</v>
      </c>
      <c r="P48" s="20" t="n">
        <v>0</v>
      </c>
      <c r="Q48" s="18" t="n">
        <v>5.21386915</v>
      </c>
      <c r="R48" s="20" t="n">
        <v>1.02238694</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(4945.0/B50*100)</f>
        <v/>
      </c>
      <c r="D50" s="19" t="n">
        <v>692</v>
      </c>
      <c r="E50" s="18" t="n">
        <v>78.50216734999999</v>
      </c>
      <c r="F50" s="20" t="n">
        <v>1.84595772</v>
      </c>
      <c r="G50" s="18" t="n">
        <v>5.48633532</v>
      </c>
      <c r="H50" s="20" t="n">
        <v>1.2387089</v>
      </c>
      <c r="I50" s="18" t="s">
        <v>349</v>
      </c>
      <c r="J50" s="20" t="s">
        <v>349</v>
      </c>
      <c r="K50" s="18" t="n">
        <v>0.79849958</v>
      </c>
      <c r="L50" s="20" t="n">
        <v>0.4266286</v>
      </c>
      <c r="M50" s="18" t="n">
        <v>0.31409563</v>
      </c>
      <c r="N50" s="20" t="n">
        <v>0.27237245</v>
      </c>
      <c r="O50" s="18" t="n">
        <v>0</v>
      </c>
      <c r="P50" s="20" t="n">
        <v>0</v>
      </c>
      <c r="Q50" s="18" t="n">
        <v>14.89890211</v>
      </c>
      <c r="R50" s="20" t="n">
        <v>1.80973905</v>
      </c>
    </row>
    <row r="51" spans="1:18">
      <c r="A51" s="15" t="s">
        <v>393</v>
      </c>
      <c r="B51" s="17" t="n">
        <v>3372</v>
      </c>
      <c r="C51" s="18">
        <f>(3025.0/B51*100)</f>
        <v/>
      </c>
      <c r="D51" s="19" t="n">
        <v>347</v>
      </c>
      <c r="E51" s="18" t="n">
        <v>75.52268386</v>
      </c>
      <c r="F51" s="20" t="n">
        <v>2.38312304</v>
      </c>
      <c r="G51" s="18" t="n">
        <v>5.7460159</v>
      </c>
      <c r="H51" s="20" t="n">
        <v>1.32694656</v>
      </c>
      <c r="I51" s="18" t="s">
        <v>349</v>
      </c>
      <c r="J51" s="20" t="s">
        <v>349</v>
      </c>
      <c r="K51" s="18" t="n">
        <v>0</v>
      </c>
      <c r="L51" s="20" t="n">
        <v>0</v>
      </c>
      <c r="M51" s="18" t="n">
        <v>0</v>
      </c>
      <c r="N51" s="20" t="n">
        <v>0</v>
      </c>
      <c r="O51" s="18" t="n">
        <v>0</v>
      </c>
      <c r="P51" s="20" t="n">
        <v>0</v>
      </c>
      <c r="Q51" s="18" t="n">
        <v>18.73130024</v>
      </c>
      <c r="R51" s="20" t="n">
        <v>2.21847006</v>
      </c>
    </row>
    <row r="52" spans="1:18">
      <c r="A52" s="15" t="s">
        <v>394</v>
      </c>
      <c r="B52" s="17" t="n">
        <v>2796</v>
      </c>
      <c r="C52" s="18">
        <f>(2461.0/B52*100)</f>
        <v/>
      </c>
      <c r="D52" s="19" t="n">
        <v>335</v>
      </c>
      <c r="E52" s="18" t="n">
        <v>67.652599</v>
      </c>
      <c r="F52" s="20" t="n">
        <v>2.77692155</v>
      </c>
      <c r="G52" s="18" t="n">
        <v>16.81817744</v>
      </c>
      <c r="H52" s="20" t="n">
        <v>2.46339173</v>
      </c>
      <c r="I52" s="18" t="s">
        <v>349</v>
      </c>
      <c r="J52" s="20" t="s">
        <v>349</v>
      </c>
      <c r="K52" s="18" t="n">
        <v>0</v>
      </c>
      <c r="L52" s="20" t="n">
        <v>0</v>
      </c>
      <c r="M52" s="18" t="n">
        <v>0</v>
      </c>
      <c r="N52" s="20" t="n">
        <v>0</v>
      </c>
      <c r="O52" s="18" t="n">
        <v>0</v>
      </c>
      <c r="P52" s="20" t="n">
        <v>0</v>
      </c>
      <c r="Q52" s="18" t="n">
        <v>15.52922356</v>
      </c>
      <c r="R52" s="20" t="n">
        <v>1.71887931</v>
      </c>
    </row>
    <row r="53" spans="1:18">
      <c r="A53" s="15" t="s">
        <v>395</v>
      </c>
      <c r="B53" s="17" t="n">
        <v>2811</v>
      </c>
      <c r="C53" s="18">
        <f>(2465.0/B53*100)</f>
        <v/>
      </c>
      <c r="D53" s="19" t="n">
        <v>346</v>
      </c>
      <c r="E53" s="18" t="n">
        <v>65.59617435</v>
      </c>
      <c r="F53" s="20" t="n">
        <v>2.76193953</v>
      </c>
      <c r="G53" s="18" t="n">
        <v>17.32772755</v>
      </c>
      <c r="H53" s="20" t="n">
        <v>2.2519924</v>
      </c>
      <c r="I53" s="18" t="s">
        <v>349</v>
      </c>
      <c r="J53" s="20" t="s">
        <v>349</v>
      </c>
      <c r="K53" s="18" t="n">
        <v>0.42795896</v>
      </c>
      <c r="L53" s="20" t="n">
        <v>0.29697331</v>
      </c>
      <c r="M53" s="18" t="n">
        <v>0</v>
      </c>
      <c r="N53" s="20" t="n">
        <v>0</v>
      </c>
      <c r="O53" s="18" t="n">
        <v>0</v>
      </c>
      <c r="P53" s="20" t="n">
        <v>0</v>
      </c>
      <c r="Q53" s="18" t="n">
        <v>16.64813913</v>
      </c>
      <c r="R53" s="20" t="n">
        <v>1.79692642</v>
      </c>
    </row>
    <row r="54" spans="1:18">
      <c r="A54" s="15" t="s">
        <v>396</v>
      </c>
      <c r="B54" s="17" t="n">
        <v>2266</v>
      </c>
      <c r="C54" s="18">
        <f>(1885.0/B54*100)</f>
        <v/>
      </c>
      <c r="D54" s="19" t="n">
        <v>381</v>
      </c>
      <c r="E54" s="18" t="n">
        <v>68.09951946</v>
      </c>
      <c r="F54" s="20" t="n">
        <v>2.47824026</v>
      </c>
      <c r="G54" s="18" t="n">
        <v>1.62889674</v>
      </c>
      <c r="H54" s="20" t="n">
        <v>0.77596255</v>
      </c>
      <c r="I54" s="18" t="s">
        <v>349</v>
      </c>
      <c r="J54" s="20" t="s">
        <v>349</v>
      </c>
      <c r="K54" s="18" t="n">
        <v>7.51260354</v>
      </c>
      <c r="L54" s="20" t="n">
        <v>1.57655505</v>
      </c>
      <c r="M54" s="18" t="n">
        <v>1.01117965</v>
      </c>
      <c r="N54" s="20" t="n">
        <v>0.7877198399999999</v>
      </c>
      <c r="O54" s="18" t="n">
        <v>0</v>
      </c>
      <c r="P54" s="20" t="n">
        <v>0</v>
      </c>
      <c r="Q54" s="18" t="n">
        <v>21.74780061</v>
      </c>
      <c r="R54" s="20" t="n">
        <v>2.00357775</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(2366.0/B56*100)</f>
        <v/>
      </c>
      <c r="D56" s="19" t="n">
        <v>318</v>
      </c>
      <c r="E56" s="18" t="n">
        <v>45.05188501</v>
      </c>
      <c r="F56" s="20" t="n">
        <v>3.09294212</v>
      </c>
      <c r="G56" s="18" t="n">
        <v>49.17519934</v>
      </c>
      <c r="H56" s="20" t="n">
        <v>3.20914631</v>
      </c>
      <c r="I56" s="18" t="s">
        <v>349</v>
      </c>
      <c r="J56" s="20" t="s">
        <v>349</v>
      </c>
      <c r="K56" s="18" t="n">
        <v>0</v>
      </c>
      <c r="L56" s="20" t="n">
        <v>0</v>
      </c>
      <c r="M56" s="18" t="n">
        <v>0</v>
      </c>
      <c r="N56" s="20" t="n">
        <v>0</v>
      </c>
      <c r="O56" s="18" t="n">
        <v>0</v>
      </c>
      <c r="P56" s="20" t="n">
        <v>0</v>
      </c>
      <c r="Q56" s="18" t="n">
        <v>5.77291565</v>
      </c>
      <c r="R56" s="20" t="n">
        <v>1.74165947</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(2931.0/B61*100)</f>
        <v/>
      </c>
      <c r="D61" s="19" t="n">
        <v>393</v>
      </c>
      <c r="E61" s="18" t="n">
        <v>65.03112586</v>
      </c>
      <c r="F61" s="20" t="n">
        <v>2.62743579</v>
      </c>
      <c r="G61" s="18" t="n">
        <v>18.99084534</v>
      </c>
      <c r="H61" s="20" t="n">
        <v>2.53197096</v>
      </c>
      <c r="I61" s="18" t="s">
        <v>349</v>
      </c>
      <c r="J61" s="20" t="s">
        <v>349</v>
      </c>
      <c r="K61" s="18" t="n">
        <v>0.22696623</v>
      </c>
      <c r="L61" s="20" t="n">
        <v>0.31865782</v>
      </c>
      <c r="M61" s="18" t="n">
        <v>0</v>
      </c>
      <c r="N61" s="20" t="n">
        <v>0</v>
      </c>
      <c r="O61" s="18" t="n">
        <v>0</v>
      </c>
      <c r="P61" s="20" t="n">
        <v>0</v>
      </c>
      <c r="Q61" s="18" t="n">
        <v>15.75106257</v>
      </c>
      <c r="R61" s="20" t="n">
        <v>2.14522985</v>
      </c>
    </row>
    <row r="62" spans="1:18">
      <c r="A62" s="15" t="s">
        <v>404</v>
      </c>
      <c r="B62" s="17" t="n">
        <v>2246</v>
      </c>
      <c r="C62" s="18">
        <f>(2002.0/B62*100)</f>
        <v/>
      </c>
      <c r="D62" s="19" t="n">
        <v>244</v>
      </c>
      <c r="E62" s="18" t="n">
        <v>56.92090583</v>
      </c>
      <c r="F62" s="20" t="n">
        <v>3.22169628</v>
      </c>
      <c r="G62" s="18" t="n">
        <v>38.96267803</v>
      </c>
      <c r="H62" s="20" t="n">
        <v>3.26621486</v>
      </c>
      <c r="I62" s="18" t="s">
        <v>349</v>
      </c>
      <c r="J62" s="20" t="s">
        <v>349</v>
      </c>
      <c r="K62" s="18" t="n">
        <v>0</v>
      </c>
      <c r="L62" s="20" t="n">
        <v>0</v>
      </c>
      <c r="M62" s="18" t="n">
        <v>0</v>
      </c>
      <c r="N62" s="20" t="n">
        <v>0</v>
      </c>
      <c r="O62" s="18" t="n">
        <v>0</v>
      </c>
      <c r="P62" s="20" t="n">
        <v>0</v>
      </c>
      <c r="Q62" s="18" t="n">
        <v>4.11641614</v>
      </c>
      <c r="R62" s="20" t="n">
        <v>1.36214837</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(2544.0/B66*100)</f>
        <v/>
      </c>
      <c r="D66" s="19" t="n">
        <v>350</v>
      </c>
      <c r="E66" s="18" t="n">
        <v>53.52582476</v>
      </c>
      <c r="F66" s="20" t="n">
        <v>2.65965625</v>
      </c>
      <c r="G66" s="18" t="n">
        <v>12.70968465</v>
      </c>
      <c r="H66" s="20" t="n">
        <v>1.80581213</v>
      </c>
      <c r="I66" s="18" t="s">
        <v>349</v>
      </c>
      <c r="J66" s="20" t="s">
        <v>349</v>
      </c>
      <c r="K66" s="18" t="n">
        <v>0.55943959</v>
      </c>
      <c r="L66" s="20" t="n">
        <v>0.39518316</v>
      </c>
      <c r="M66" s="18" t="n">
        <v>0.50195494</v>
      </c>
      <c r="N66" s="20" t="n">
        <v>0.34869663</v>
      </c>
      <c r="O66" s="18" t="n">
        <v>0</v>
      </c>
      <c r="P66" s="20" t="n">
        <v>0</v>
      </c>
      <c r="Q66" s="18" t="n">
        <v>32.70309607</v>
      </c>
      <c r="R66" s="20" t="n">
        <v>2.31891215</v>
      </c>
    </row>
    <row r="67" spans="1:18">
      <c r="A67" s="15" t="s">
        <v>409</v>
      </c>
      <c r="B67" s="17" t="n">
        <v>3511</v>
      </c>
      <c r="C67" s="18">
        <f>(3119.0/B67*100)</f>
        <v/>
      </c>
      <c r="D67" s="19" t="n">
        <v>392</v>
      </c>
      <c r="E67" s="18" t="n">
        <v>73.00104258</v>
      </c>
      <c r="F67" s="20" t="n">
        <v>2.49159578</v>
      </c>
      <c r="G67" s="18" t="n">
        <v>4.82614367</v>
      </c>
      <c r="H67" s="20" t="n">
        <v>1.0306582</v>
      </c>
      <c r="I67" s="18" t="s">
        <v>349</v>
      </c>
      <c r="J67" s="20" t="s">
        <v>349</v>
      </c>
      <c r="K67" s="18" t="n">
        <v>0</v>
      </c>
      <c r="L67" s="20" t="n">
        <v>0</v>
      </c>
      <c r="M67" s="18" t="n">
        <v>0</v>
      </c>
      <c r="N67" s="20" t="n">
        <v>0</v>
      </c>
      <c r="O67" s="18" t="n">
        <v>0</v>
      </c>
      <c r="P67" s="20" t="n">
        <v>0</v>
      </c>
      <c r="Q67" s="18" t="n">
        <v>22.17281375</v>
      </c>
      <c r="R67" s="20" t="n">
        <v>2.43577053</v>
      </c>
    </row>
    <row r="68" spans="1:18">
      <c r="A68" s="15" t="s">
        <v>410</v>
      </c>
      <c r="B68" s="17" t="n">
        <v>6049</v>
      </c>
      <c r="C68" s="18">
        <f>(5069.0/B68*100)</f>
        <v/>
      </c>
      <c r="D68" s="19" t="n">
        <v>980</v>
      </c>
      <c r="E68" s="18" t="n">
        <v>71.12769424</v>
      </c>
      <c r="F68" s="20" t="n">
        <v>1.318221</v>
      </c>
      <c r="G68" s="18" t="n">
        <v>9.88252658</v>
      </c>
      <c r="H68" s="20" t="n">
        <v>1.00500842</v>
      </c>
      <c r="I68" s="18" t="s">
        <v>349</v>
      </c>
      <c r="J68" s="20" t="s">
        <v>349</v>
      </c>
      <c r="K68" s="18" t="n">
        <v>2.0262795</v>
      </c>
      <c r="L68" s="20" t="n">
        <v>0.41235827</v>
      </c>
      <c r="M68" s="18" t="n">
        <v>0</v>
      </c>
      <c r="N68" s="20" t="n">
        <v>0</v>
      </c>
      <c r="O68" s="18" t="n">
        <v>0</v>
      </c>
      <c r="P68" s="20" t="n">
        <v>0</v>
      </c>
      <c r="Q68" s="18" t="n">
        <v>16.96349968</v>
      </c>
      <c r="R68" s="20" t="n">
        <v>1.13824472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(2604.0/B70*100)</f>
        <v/>
      </c>
      <c r="D70" s="19" t="n">
        <v>325</v>
      </c>
      <c r="E70" s="18" t="n">
        <v>60.77047056</v>
      </c>
      <c r="F70" s="20" t="n">
        <v>3.68229323</v>
      </c>
      <c r="G70" s="18" t="n">
        <v>23.60689288</v>
      </c>
      <c r="H70" s="20" t="n">
        <v>2.631755</v>
      </c>
      <c r="I70" s="18" t="s">
        <v>349</v>
      </c>
      <c r="J70" s="20" t="s">
        <v>349</v>
      </c>
      <c r="K70" s="18" t="n">
        <v>0.15890927</v>
      </c>
      <c r="L70" s="20" t="n">
        <v>0.11345011</v>
      </c>
      <c r="M70" s="18" t="n">
        <v>1.28151171</v>
      </c>
      <c r="N70" s="20" t="n">
        <v>0.81570862</v>
      </c>
      <c r="O70" s="18" t="n">
        <v>0</v>
      </c>
      <c r="P70" s="20" t="n">
        <v>0</v>
      </c>
      <c r="Q70" s="18" t="n">
        <v>14.18221559</v>
      </c>
      <c r="R70" s="20" t="n">
        <v>2.88012093</v>
      </c>
    </row>
    <row r="71" spans="1:18">
      <c r="A71" s="15" t="s">
        <v>413</v>
      </c>
      <c r="B71" s="17" t="n">
        <v>3142</v>
      </c>
      <c r="C71" s="18">
        <f>(2749.0/B71*100)</f>
        <v/>
      </c>
      <c r="D71" s="19" t="n">
        <v>393</v>
      </c>
      <c r="E71" s="18" t="n">
        <v>45.48704716</v>
      </c>
      <c r="F71" s="20" t="n">
        <v>2.10351066</v>
      </c>
      <c r="G71" s="18" t="n">
        <v>48.52827488</v>
      </c>
      <c r="H71" s="20" t="n">
        <v>2.29924007</v>
      </c>
      <c r="I71" s="18" t="s">
        <v>349</v>
      </c>
      <c r="J71" s="20" t="s">
        <v>349</v>
      </c>
      <c r="K71" s="18" t="n">
        <v>0.44615268</v>
      </c>
      <c r="L71" s="20" t="n">
        <v>0.31391427</v>
      </c>
      <c r="M71" s="18" t="n">
        <v>0</v>
      </c>
      <c r="N71" s="20" t="n">
        <v>0</v>
      </c>
      <c r="O71" s="18" t="n">
        <v>0</v>
      </c>
      <c r="P71" s="20" t="n">
        <v>0</v>
      </c>
      <c r="Q71" s="18" t="n">
        <v>5.53852528</v>
      </c>
      <c r="R71" s="20" t="n">
        <v>1.02646952</v>
      </c>
    </row>
    <row r="72" spans="1:18">
      <c r="A72" s="15" t="s">
        <v>414</v>
      </c>
      <c r="B72" s="17" t="n">
        <v>3889</v>
      </c>
      <c r="C72" s="18">
        <f>(3403.0/B72*100)</f>
        <v/>
      </c>
      <c r="D72" s="19" t="n">
        <v>486</v>
      </c>
      <c r="E72" s="18" t="n">
        <v>32.97893162</v>
      </c>
      <c r="F72" s="20" t="n">
        <v>2.27727868</v>
      </c>
      <c r="G72" s="18" t="n">
        <v>58.23037988</v>
      </c>
      <c r="H72" s="20" t="n">
        <v>2.48954786</v>
      </c>
      <c r="I72" s="18" t="s">
        <v>349</v>
      </c>
      <c r="J72" s="20" t="s">
        <v>349</v>
      </c>
      <c r="K72" s="18" t="n">
        <v>0.27750715</v>
      </c>
      <c r="L72" s="20" t="n">
        <v>0.27761389</v>
      </c>
      <c r="M72" s="18" t="n">
        <v>0</v>
      </c>
      <c r="N72" s="20" t="n">
        <v>0</v>
      </c>
      <c r="O72" s="18" t="n">
        <v>0</v>
      </c>
      <c r="P72" s="20" t="n">
        <v>0</v>
      </c>
      <c r="Q72" s="18" t="n">
        <v>8.51318135</v>
      </c>
      <c r="R72" s="20" t="n">
        <v>1.36677044</v>
      </c>
    </row>
    <row r="73" spans="1:18">
      <c r="A73" s="15" t="s">
        <v>415</v>
      </c>
      <c r="B73" s="17" t="n">
        <v>3597</v>
      </c>
      <c r="C73" s="18">
        <f>(3157.0/B73*100)</f>
        <v/>
      </c>
      <c r="D73" s="19" t="n">
        <v>440</v>
      </c>
      <c r="E73" s="18" t="n">
        <v>81.22950532</v>
      </c>
      <c r="F73" s="20" t="n">
        <v>2.12952021</v>
      </c>
      <c r="G73" s="18" t="n">
        <v>11.12844693</v>
      </c>
      <c r="H73" s="20" t="n">
        <v>1.89587384</v>
      </c>
      <c r="I73" s="18" t="s">
        <v>349</v>
      </c>
      <c r="J73" s="20" t="s">
        <v>349</v>
      </c>
      <c r="K73" s="18" t="n">
        <v>0</v>
      </c>
      <c r="L73" s="20" t="n">
        <v>0</v>
      </c>
      <c r="M73" s="18" t="n">
        <v>0</v>
      </c>
      <c r="N73" s="20" t="n">
        <v>0</v>
      </c>
      <c r="O73" s="18" t="n">
        <v>0</v>
      </c>
      <c r="P73" s="20" t="n">
        <v>0</v>
      </c>
      <c r="Q73" s="18" t="n">
        <v>7.64204776</v>
      </c>
      <c r="R73" s="20" t="n">
        <v>1.66229844</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(2131.0/B75*100)</f>
        <v/>
      </c>
      <c r="D75" s="19" t="n">
        <v>275</v>
      </c>
      <c r="E75" s="18" t="n">
        <v>68.87525141</v>
      </c>
      <c r="F75" s="20" t="n">
        <v>3.18717731</v>
      </c>
      <c r="G75" s="18" t="n">
        <v>6.861073</v>
      </c>
      <c r="H75" s="20" t="n">
        <v>1.74118477</v>
      </c>
      <c r="I75" s="18" t="s">
        <v>349</v>
      </c>
      <c r="J75" s="20" t="s">
        <v>349</v>
      </c>
      <c r="K75" s="18" t="n">
        <v>0.61567924</v>
      </c>
      <c r="L75" s="20" t="n">
        <v>0.41186857</v>
      </c>
      <c r="M75" s="18" t="n">
        <v>0.3767591</v>
      </c>
      <c r="N75" s="20" t="n">
        <v>0.36498936</v>
      </c>
      <c r="O75" s="18" t="n">
        <v>0</v>
      </c>
      <c r="P75" s="20" t="n">
        <v>0</v>
      </c>
      <c r="Q75" s="18" t="n">
        <v>23.27123725</v>
      </c>
      <c r="R75" s="20" t="n">
        <v>3.03032474</v>
      </c>
    </row>
    <row r="76" spans="1:18">
      <c r="A76" s="15" t="s">
        <v>418</v>
      </c>
      <c r="B76" s="17" t="n">
        <v>7052</v>
      </c>
      <c r="C76" s="18">
        <f>(6209.0/B76*100)</f>
        <v/>
      </c>
      <c r="D76" s="19" t="n">
        <v>843</v>
      </c>
      <c r="E76" s="18" t="n">
        <v>76.665457</v>
      </c>
      <c r="F76" s="20" t="n">
        <v>2.08847059</v>
      </c>
      <c r="G76" s="18" t="n">
        <v>12.89523638</v>
      </c>
      <c r="H76" s="20" t="n">
        <v>1.67564745</v>
      </c>
      <c r="I76" s="18" t="s">
        <v>349</v>
      </c>
      <c r="J76" s="20" t="s">
        <v>349</v>
      </c>
      <c r="K76" s="18" t="n">
        <v>1.480639</v>
      </c>
      <c r="L76" s="20" t="n">
        <v>0.42950203</v>
      </c>
      <c r="M76" s="18" t="n">
        <v>0.2636659</v>
      </c>
      <c r="N76" s="20" t="n">
        <v>0.13729974</v>
      </c>
      <c r="O76" s="18" t="n">
        <v>0</v>
      </c>
      <c r="P76" s="20" t="n">
        <v>0</v>
      </c>
      <c r="Q76" s="18" t="n">
        <v>8.69500172</v>
      </c>
      <c r="R76" s="20" t="n">
        <v>1.26607605</v>
      </c>
    </row>
    <row r="77" spans="1:18">
      <c r="A77" s="15" t="s">
        <v>419</v>
      </c>
      <c r="B77" s="17" t="n">
        <v>2908</v>
      </c>
      <c r="C77" s="18">
        <f>(2538.0/B77*100)</f>
        <v/>
      </c>
      <c r="D77" s="19" t="n">
        <v>370</v>
      </c>
      <c r="E77" s="18" t="n">
        <v>59.1725184</v>
      </c>
      <c r="F77" s="20" t="n">
        <v>2.5501552</v>
      </c>
      <c r="G77" s="18" t="n">
        <v>5.07713357</v>
      </c>
      <c r="H77" s="20" t="n">
        <v>1.19823976</v>
      </c>
      <c r="I77" s="18" t="s">
        <v>349</v>
      </c>
      <c r="J77" s="20" t="s">
        <v>349</v>
      </c>
      <c r="K77" s="18" t="n">
        <v>0.7096549</v>
      </c>
      <c r="L77" s="20" t="n">
        <v>0.5893005</v>
      </c>
      <c r="M77" s="18" t="n">
        <v>6.47536487</v>
      </c>
      <c r="N77" s="20" t="n">
        <v>1.32895416</v>
      </c>
      <c r="O77" s="18" t="n">
        <v>0</v>
      </c>
      <c r="P77" s="20" t="n">
        <v>0</v>
      </c>
      <c r="Q77" s="18" t="n">
        <v>28.56532826</v>
      </c>
      <c r="R77" s="20" t="n">
        <v>2.2628148</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(3652.0/B81*100)</f>
        <v/>
      </c>
      <c r="D81" s="19" t="n">
        <v>511</v>
      </c>
      <c r="E81" s="18" t="n">
        <v>77.29727613999999</v>
      </c>
      <c r="F81" s="20" t="n">
        <v>2.30479566</v>
      </c>
      <c r="G81" s="18" t="n">
        <v>16.57608826</v>
      </c>
      <c r="H81" s="20" t="n">
        <v>2.05127925</v>
      </c>
      <c r="I81" s="18" t="s">
        <v>349</v>
      </c>
      <c r="J81" s="20" t="s">
        <v>349</v>
      </c>
      <c r="K81" s="18" t="n">
        <v>0.61182156</v>
      </c>
      <c r="L81" s="20" t="n">
        <v>0.7727422900000001</v>
      </c>
      <c r="M81" s="18" t="n">
        <v>0</v>
      </c>
      <c r="N81" s="20" t="n">
        <v>0</v>
      </c>
      <c r="O81" s="18" t="n">
        <v>0</v>
      </c>
      <c r="P81" s="20" t="n">
        <v>0</v>
      </c>
      <c r="Q81" s="18" t="n">
        <v>5.51481404</v>
      </c>
      <c r="R81" s="20" t="n">
        <v>1.19446966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(6485.0/B7*100)</f>
        <v/>
      </c>
      <c r="D7" s="19" t="n">
        <v>882</v>
      </c>
      <c r="E7" s="18" t="n">
        <v>64.02234249</v>
      </c>
      <c r="F7" s="20" t="n">
        <v>1.7840813</v>
      </c>
      <c r="G7" s="18" t="n">
        <v>16.31477127</v>
      </c>
      <c r="H7" s="20" t="n">
        <v>1.39711553</v>
      </c>
      <c r="I7" s="18" t="s">
        <v>349</v>
      </c>
      <c r="J7" s="20" t="s">
        <v>349</v>
      </c>
      <c r="K7" s="18" t="n">
        <v>0.71577074</v>
      </c>
      <c r="L7" s="20" t="n">
        <v>0.28691606</v>
      </c>
      <c r="M7" s="18" t="n">
        <v>0.07322676</v>
      </c>
      <c r="N7" s="20" t="n">
        <v>0.07170414</v>
      </c>
      <c r="O7" s="18" t="n">
        <v>0</v>
      </c>
      <c r="P7" s="20" t="n">
        <v>0</v>
      </c>
      <c r="Q7" s="18" t="n">
        <v>18.87388874</v>
      </c>
      <c r="R7" s="20" t="n">
        <v>1.48628674</v>
      </c>
    </row>
    <row r="8" spans="1:18">
      <c r="A8" s="15" t="s">
        <v>350</v>
      </c>
      <c r="B8" s="17" t="n">
        <v>3564</v>
      </c>
      <c r="C8" s="18">
        <f>(3126.0/B8*100)</f>
        <v/>
      </c>
      <c r="D8" s="19" t="n">
        <v>438</v>
      </c>
      <c r="E8" s="18" t="n">
        <v>52.66134038</v>
      </c>
      <c r="F8" s="20" t="n">
        <v>2.56327536</v>
      </c>
      <c r="G8" s="18" t="n">
        <v>19.39781255</v>
      </c>
      <c r="H8" s="20" t="n">
        <v>1.79244835</v>
      </c>
      <c r="I8" s="18" t="s">
        <v>349</v>
      </c>
      <c r="J8" s="20" t="s">
        <v>349</v>
      </c>
      <c r="K8" s="18" t="n">
        <v>0.84498184</v>
      </c>
      <c r="L8" s="20" t="n">
        <v>0.47787286</v>
      </c>
      <c r="M8" s="18" t="n">
        <v>0</v>
      </c>
      <c r="N8" s="20" t="n">
        <v>0</v>
      </c>
      <c r="O8" s="18" t="n">
        <v>0</v>
      </c>
      <c r="P8" s="20" t="n">
        <v>0</v>
      </c>
      <c r="Q8" s="18" t="n">
        <v>27.09586523</v>
      </c>
      <c r="R8" s="20" t="n">
        <v>2.15444576</v>
      </c>
    </row>
    <row r="9" spans="1:18">
      <c r="A9" s="15" t="s">
        <v>351</v>
      </c>
      <c r="B9" s="17" t="n">
        <v>4899</v>
      </c>
      <c r="C9" s="18">
        <f>(4307.0/B9*100)</f>
        <v/>
      </c>
      <c r="D9" s="19" t="n">
        <v>592</v>
      </c>
      <c r="E9" s="18" t="n">
        <v>52.33517556</v>
      </c>
      <c r="F9" s="20" t="n">
        <v>2.15211955</v>
      </c>
      <c r="G9" s="18" t="n">
        <v>17.72320306</v>
      </c>
      <c r="H9" s="20" t="n">
        <v>1.7289905</v>
      </c>
      <c r="I9" s="18" t="s">
        <v>349</v>
      </c>
      <c r="J9" s="20" t="s">
        <v>349</v>
      </c>
      <c r="K9" s="18" t="n">
        <v>0.57918085</v>
      </c>
      <c r="L9" s="20" t="n">
        <v>0.44110915</v>
      </c>
      <c r="M9" s="18" t="n">
        <v>0.69098284</v>
      </c>
      <c r="N9" s="20" t="n">
        <v>0.31862482</v>
      </c>
      <c r="O9" s="18" t="n">
        <v>0</v>
      </c>
      <c r="P9" s="20" t="n">
        <v>0</v>
      </c>
      <c r="Q9" s="18" t="n">
        <v>28.67145769</v>
      </c>
      <c r="R9" s="20" t="n">
        <v>1.93213182</v>
      </c>
    </row>
    <row r="10" spans="1:18">
      <c r="A10" s="15" t="s">
        <v>352</v>
      </c>
      <c r="B10" s="17" t="n">
        <v>10036</v>
      </c>
      <c r="C10" s="18">
        <f>(8796.0/B10*100)</f>
        <v/>
      </c>
      <c r="D10" s="19" t="n">
        <v>1240</v>
      </c>
      <c r="E10" s="18" t="n">
        <v>61.669233</v>
      </c>
      <c r="F10" s="20" t="n">
        <v>2.04038864</v>
      </c>
      <c r="G10" s="18" t="n">
        <v>20.30377328</v>
      </c>
      <c r="H10" s="20" t="n">
        <v>1.83110617</v>
      </c>
      <c r="I10" s="18" t="s">
        <v>349</v>
      </c>
      <c r="J10" s="20" t="s">
        <v>349</v>
      </c>
      <c r="K10" s="18" t="n">
        <v>0.68797307</v>
      </c>
      <c r="L10" s="20" t="n">
        <v>0.29696009</v>
      </c>
      <c r="M10" s="18" t="n">
        <v>0.2128129</v>
      </c>
      <c r="N10" s="20" t="n">
        <v>0.12488518</v>
      </c>
      <c r="O10" s="18" t="n">
        <v>0</v>
      </c>
      <c r="P10" s="20" t="n">
        <v>0</v>
      </c>
      <c r="Q10" s="18" t="n">
        <v>17.12620774</v>
      </c>
      <c r="R10" s="20" t="n">
        <v>1.66706324</v>
      </c>
    </row>
    <row r="11" spans="1:18">
      <c r="A11" s="15" t="s">
        <v>353</v>
      </c>
      <c r="B11" s="17" t="n">
        <v>3553</v>
      </c>
      <c r="C11" s="18">
        <f>(3128.0/B11*100)</f>
        <v/>
      </c>
      <c r="D11" s="19" t="n">
        <v>425</v>
      </c>
      <c r="E11" s="18" t="n">
        <v>54.27293776</v>
      </c>
      <c r="F11" s="20" t="n">
        <v>3.18564233</v>
      </c>
      <c r="G11" s="18" t="n">
        <v>4.66433671</v>
      </c>
      <c r="H11" s="20" t="n">
        <v>1.23629153</v>
      </c>
      <c r="I11" s="18" t="s">
        <v>349</v>
      </c>
      <c r="J11" s="20" t="s">
        <v>349</v>
      </c>
      <c r="K11" s="18" t="n">
        <v>0.53084666</v>
      </c>
      <c r="L11" s="20" t="n">
        <v>0.3030682</v>
      </c>
      <c r="M11" s="18" t="n">
        <v>0</v>
      </c>
      <c r="N11" s="20" t="n">
        <v>0</v>
      </c>
      <c r="O11" s="18" t="n">
        <v>0</v>
      </c>
      <c r="P11" s="20" t="n">
        <v>0</v>
      </c>
      <c r="Q11" s="18" t="n">
        <v>40.53187887</v>
      </c>
      <c r="R11" s="20" t="n">
        <v>3.23496131</v>
      </c>
    </row>
    <row r="12" spans="1:18">
      <c r="A12" s="15" t="s">
        <v>354</v>
      </c>
      <c r="B12" s="17" t="n">
        <v>3472</v>
      </c>
      <c r="C12" s="18">
        <f>(3072.0/B12*100)</f>
        <v/>
      </c>
      <c r="D12" s="19" t="n">
        <v>400</v>
      </c>
      <c r="E12" s="18" t="n">
        <v>60.54611409</v>
      </c>
      <c r="F12" s="20" t="n">
        <v>2.63363421</v>
      </c>
      <c r="G12" s="18" t="n">
        <v>11.54195429</v>
      </c>
      <c r="H12" s="20" t="n">
        <v>1.77876918</v>
      </c>
      <c r="I12" s="18" t="s">
        <v>349</v>
      </c>
      <c r="J12" s="20" t="s">
        <v>349</v>
      </c>
      <c r="K12" s="18" t="n">
        <v>0.12306119</v>
      </c>
      <c r="L12" s="20" t="n">
        <v>0.12416761</v>
      </c>
      <c r="M12" s="18" t="n">
        <v>0.14392614</v>
      </c>
      <c r="N12" s="20" t="n">
        <v>0.19034887</v>
      </c>
      <c r="O12" s="18" t="n">
        <v>0</v>
      </c>
      <c r="P12" s="20" t="n">
        <v>0</v>
      </c>
      <c r="Q12" s="18" t="n">
        <v>27.64494429</v>
      </c>
      <c r="R12" s="20" t="n">
        <v>2.54307218</v>
      </c>
    </row>
    <row r="13" spans="1:18">
      <c r="A13" s="15" t="s">
        <v>355</v>
      </c>
      <c r="B13" s="17" t="n">
        <v>3559</v>
      </c>
      <c r="C13" s="18">
        <f>(3161.0/B13*100)</f>
        <v/>
      </c>
      <c r="D13" s="19" t="n">
        <v>398</v>
      </c>
      <c r="E13" s="18" t="n">
        <v>63.59395164</v>
      </c>
      <c r="F13" s="20" t="n">
        <v>2.86607388</v>
      </c>
      <c r="G13" s="18" t="n">
        <v>17.91670248</v>
      </c>
      <c r="H13" s="20" t="n">
        <v>2.1521299</v>
      </c>
      <c r="I13" s="18" t="s">
        <v>349</v>
      </c>
      <c r="J13" s="20" t="s">
        <v>349</v>
      </c>
      <c r="K13" s="18" t="n">
        <v>0.54044295</v>
      </c>
      <c r="L13" s="20" t="n">
        <v>0.3785552</v>
      </c>
      <c r="M13" s="18" t="n">
        <v>0</v>
      </c>
      <c r="N13" s="20" t="n">
        <v>0</v>
      </c>
      <c r="O13" s="18" t="n">
        <v>0</v>
      </c>
      <c r="P13" s="20" t="n">
        <v>0</v>
      </c>
      <c r="Q13" s="18" t="n">
        <v>17.94890293</v>
      </c>
      <c r="R13" s="20" t="n">
        <v>2.19641649</v>
      </c>
    </row>
    <row r="14" spans="1:18">
      <c r="A14" s="15" t="s">
        <v>356</v>
      </c>
      <c r="B14" s="17" t="n">
        <v>2799</v>
      </c>
      <c r="C14" s="18">
        <f>(2453.0/B14*100)</f>
        <v/>
      </c>
      <c r="D14" s="19" t="n">
        <v>346</v>
      </c>
      <c r="E14" s="18" t="n">
        <v>62.31576716</v>
      </c>
      <c r="F14" s="20" t="n">
        <v>2.94471877</v>
      </c>
      <c r="G14" s="18" t="n">
        <v>18.9899639</v>
      </c>
      <c r="H14" s="20" t="n">
        <v>2.14955015</v>
      </c>
      <c r="I14" s="18" t="s">
        <v>349</v>
      </c>
      <c r="J14" s="20" t="s">
        <v>349</v>
      </c>
      <c r="K14" s="18" t="n">
        <v>0.23169625</v>
      </c>
      <c r="L14" s="20" t="n">
        <v>0.23243413</v>
      </c>
      <c r="M14" s="18" t="n">
        <v>0</v>
      </c>
      <c r="N14" s="20" t="n">
        <v>0</v>
      </c>
      <c r="O14" s="18" t="n">
        <v>0</v>
      </c>
      <c r="P14" s="20" t="n">
        <v>0</v>
      </c>
      <c r="Q14" s="18" t="n">
        <v>18.46257269</v>
      </c>
      <c r="R14" s="20" t="n">
        <v>2.16535668</v>
      </c>
    </row>
    <row r="15" spans="1:18">
      <c r="A15" s="15" t="s">
        <v>357</v>
      </c>
      <c r="B15" s="17" t="n">
        <v>3019</v>
      </c>
      <c r="C15" s="18">
        <f>(2646.0/B15*100)</f>
        <v/>
      </c>
      <c r="D15" s="19" t="n">
        <v>373</v>
      </c>
      <c r="E15" s="18" t="n">
        <v>66.37166575000001</v>
      </c>
      <c r="F15" s="20" t="n">
        <v>2.49978018</v>
      </c>
      <c r="G15" s="18" t="n">
        <v>10.00847333</v>
      </c>
      <c r="H15" s="20" t="n">
        <v>1.50558317</v>
      </c>
      <c r="I15" s="18" t="s">
        <v>349</v>
      </c>
      <c r="J15" s="20" t="s">
        <v>349</v>
      </c>
      <c r="K15" s="18" t="n">
        <v>0</v>
      </c>
      <c r="L15" s="20" t="n">
        <v>0</v>
      </c>
      <c r="M15" s="18" t="n">
        <v>0</v>
      </c>
      <c r="N15" s="20" t="n">
        <v>0</v>
      </c>
      <c r="O15" s="18" t="n">
        <v>0</v>
      </c>
      <c r="P15" s="20" t="n">
        <v>0</v>
      </c>
      <c r="Q15" s="18" t="n">
        <v>23.61986091</v>
      </c>
      <c r="R15" s="20" t="n">
        <v>2.41098736</v>
      </c>
    </row>
    <row r="16" spans="1:18">
      <c r="A16" s="15" t="s">
        <v>358</v>
      </c>
      <c r="B16" s="17" t="n">
        <v>2997</v>
      </c>
      <c r="C16" s="18">
        <f>(2621.0/B16*100)</f>
        <v/>
      </c>
      <c r="D16" s="19" t="n">
        <v>376</v>
      </c>
      <c r="E16" s="18" t="n">
        <v>49.88708897</v>
      </c>
      <c r="F16" s="20" t="n">
        <v>2.49970814</v>
      </c>
      <c r="G16" s="18" t="n">
        <v>13.34607811</v>
      </c>
      <c r="H16" s="20" t="n">
        <v>1.53945602</v>
      </c>
      <c r="I16" s="18" t="s">
        <v>349</v>
      </c>
      <c r="J16" s="20" t="s">
        <v>349</v>
      </c>
      <c r="K16" s="18" t="n">
        <v>0.79373891</v>
      </c>
      <c r="L16" s="20" t="n">
        <v>0.43310358</v>
      </c>
      <c r="M16" s="18" t="n">
        <v>0</v>
      </c>
      <c r="N16" s="20" t="n">
        <v>0</v>
      </c>
      <c r="O16" s="18" t="n">
        <v>0</v>
      </c>
      <c r="P16" s="20" t="n">
        <v>0</v>
      </c>
      <c r="Q16" s="18" t="n">
        <v>35.97309401</v>
      </c>
      <c r="R16" s="20" t="n">
        <v>2.6128996</v>
      </c>
    </row>
    <row r="17" spans="1:18">
      <c r="A17" s="15" t="s">
        <v>359</v>
      </c>
      <c r="B17" s="17" t="n">
        <v>3307</v>
      </c>
      <c r="C17" s="18">
        <f>(2920.0/B17*100)</f>
        <v/>
      </c>
      <c r="D17" s="19" t="n">
        <v>387</v>
      </c>
      <c r="E17" s="18" t="n">
        <v>60.88659383</v>
      </c>
      <c r="F17" s="20" t="n">
        <v>2.44469439</v>
      </c>
      <c r="G17" s="18" t="n">
        <v>13.6046021</v>
      </c>
      <c r="H17" s="20" t="n">
        <v>1.73045504</v>
      </c>
      <c r="I17" s="18" t="s">
        <v>349</v>
      </c>
      <c r="J17" s="20" t="s">
        <v>349</v>
      </c>
      <c r="K17" s="18" t="n">
        <v>0.3694202</v>
      </c>
      <c r="L17" s="20" t="n">
        <v>0.31759732</v>
      </c>
      <c r="M17" s="18" t="n">
        <v>0</v>
      </c>
      <c r="N17" s="20" t="n">
        <v>0</v>
      </c>
      <c r="O17" s="18" t="n">
        <v>0</v>
      </c>
      <c r="P17" s="20" t="n">
        <v>0</v>
      </c>
      <c r="Q17" s="18" t="n">
        <v>25.13938387</v>
      </c>
      <c r="R17" s="20" t="n">
        <v>2.30919216</v>
      </c>
    </row>
    <row r="18" spans="1:18">
      <c r="A18" s="15" t="s">
        <v>360</v>
      </c>
      <c r="B18" s="17" t="n">
        <v>2826</v>
      </c>
      <c r="C18" s="18">
        <f>(2500.0/B18*100)</f>
        <v/>
      </c>
      <c r="D18" s="19" t="n">
        <v>326</v>
      </c>
      <c r="E18" s="18" t="n">
        <v>64.42541648</v>
      </c>
      <c r="F18" s="20" t="n">
        <v>2.61141191</v>
      </c>
      <c r="G18" s="18" t="n">
        <v>4.68202336</v>
      </c>
      <c r="H18" s="20" t="n">
        <v>1.20504099</v>
      </c>
      <c r="I18" s="18" t="s">
        <v>349</v>
      </c>
      <c r="J18" s="20" t="s">
        <v>349</v>
      </c>
      <c r="K18" s="18" t="n">
        <v>0.32585429</v>
      </c>
      <c r="L18" s="20" t="n">
        <v>0.33431914</v>
      </c>
      <c r="M18" s="18" t="n">
        <v>0</v>
      </c>
      <c r="N18" s="20" t="n">
        <v>0</v>
      </c>
      <c r="O18" s="18" t="n">
        <v>0</v>
      </c>
      <c r="P18" s="20" t="n">
        <v>0</v>
      </c>
      <c r="Q18" s="18" t="n">
        <v>30.56670586</v>
      </c>
      <c r="R18" s="20" t="n">
        <v>2.78445559</v>
      </c>
    </row>
    <row r="19" spans="1:18">
      <c r="A19" s="15" t="s">
        <v>361</v>
      </c>
      <c r="B19" s="17" t="n">
        <v>2808</v>
      </c>
      <c r="C19" s="18">
        <f>(2465.0/B19*100)</f>
        <v/>
      </c>
      <c r="D19" s="19" t="n">
        <v>343</v>
      </c>
      <c r="E19" s="18" t="n">
        <v>62.82003445</v>
      </c>
      <c r="F19" s="20" t="n">
        <v>2.69850902</v>
      </c>
      <c r="G19" s="18" t="n">
        <v>8.808134389999999</v>
      </c>
      <c r="H19" s="20" t="n">
        <v>1.55908669</v>
      </c>
      <c r="I19" s="18" t="s">
        <v>349</v>
      </c>
      <c r="J19" s="20" t="s">
        <v>349</v>
      </c>
      <c r="K19" s="18" t="n">
        <v>0</v>
      </c>
      <c r="L19" s="20" t="n">
        <v>0</v>
      </c>
      <c r="M19" s="18" t="n">
        <v>0</v>
      </c>
      <c r="N19" s="20" t="n">
        <v>0</v>
      </c>
      <c r="O19" s="18" t="n">
        <v>0</v>
      </c>
      <c r="P19" s="20" t="n">
        <v>0</v>
      </c>
      <c r="Q19" s="18" t="n">
        <v>28.37183116</v>
      </c>
      <c r="R19" s="20" t="n">
        <v>2.59048219</v>
      </c>
    </row>
    <row r="20" spans="1:18">
      <c r="A20" s="15" t="s">
        <v>362</v>
      </c>
      <c r="B20" s="17" t="n">
        <v>1630</v>
      </c>
      <c r="C20" s="18">
        <f>(1430.0/B20*100)</f>
        <v/>
      </c>
      <c r="D20" s="19" t="n">
        <v>200</v>
      </c>
      <c r="E20" s="18" t="n">
        <v>70.29951677</v>
      </c>
      <c r="F20" s="20" t="n">
        <v>3.24086428</v>
      </c>
      <c r="G20" s="18" t="n">
        <v>11.46148158</v>
      </c>
      <c r="H20" s="20" t="n">
        <v>2.61690985</v>
      </c>
      <c r="I20" s="18" t="s">
        <v>349</v>
      </c>
      <c r="J20" s="20" t="s">
        <v>349</v>
      </c>
      <c r="K20" s="18" t="n">
        <v>0.47022099</v>
      </c>
      <c r="L20" s="20" t="n">
        <v>0.47054523</v>
      </c>
      <c r="M20" s="18" t="n">
        <v>1.18891499</v>
      </c>
      <c r="N20" s="20" t="n">
        <v>0.70059363</v>
      </c>
      <c r="O20" s="18" t="n">
        <v>0</v>
      </c>
      <c r="P20" s="20" t="n">
        <v>0</v>
      </c>
      <c r="Q20" s="18" t="n">
        <v>16.57986567</v>
      </c>
      <c r="R20" s="20" t="n">
        <v>2.3243112</v>
      </c>
    </row>
    <row r="21" spans="1:18">
      <c r="A21" s="15" t="s">
        <v>363</v>
      </c>
      <c r="B21" s="17" t="n">
        <v>2908</v>
      </c>
      <c r="C21" s="18">
        <f>(2437.0/B21*100)</f>
        <v/>
      </c>
      <c r="D21" s="19" t="n">
        <v>471</v>
      </c>
      <c r="E21" s="18" t="n">
        <v>66.78128113</v>
      </c>
      <c r="F21" s="20" t="n">
        <v>2.33113377</v>
      </c>
      <c r="G21" s="18" t="n">
        <v>12.48741344</v>
      </c>
      <c r="H21" s="20" t="n">
        <v>1.67989608</v>
      </c>
      <c r="I21" s="18" t="s">
        <v>349</v>
      </c>
      <c r="J21" s="20" t="s">
        <v>349</v>
      </c>
      <c r="K21" s="18" t="n">
        <v>0</v>
      </c>
      <c r="L21" s="20" t="n">
        <v>0</v>
      </c>
      <c r="M21" s="18" t="n">
        <v>0</v>
      </c>
      <c r="N21" s="20" t="n">
        <v>0</v>
      </c>
      <c r="O21" s="18" t="n">
        <v>0</v>
      </c>
      <c r="P21" s="20" t="n">
        <v>0</v>
      </c>
      <c r="Q21" s="18" t="n">
        <v>20.73130543</v>
      </c>
      <c r="R21" s="20" t="n">
        <v>1.99545104</v>
      </c>
    </row>
    <row r="22" spans="1:18">
      <c r="A22" s="15" t="s">
        <v>364</v>
      </c>
      <c r="B22" s="17" t="n">
        <v>2931</v>
      </c>
      <c r="C22" s="18">
        <f>(2554.0/B22*100)</f>
        <v/>
      </c>
      <c r="D22" s="19" t="n">
        <v>377</v>
      </c>
      <c r="E22" s="18" t="n">
        <v>53.00658861</v>
      </c>
      <c r="F22" s="20" t="n">
        <v>2.4656192</v>
      </c>
      <c r="G22" s="18" t="n">
        <v>8.247250060000001</v>
      </c>
      <c r="H22" s="20" t="n">
        <v>1.59520589</v>
      </c>
      <c r="I22" s="18" t="s">
        <v>349</v>
      </c>
      <c r="J22" s="20" t="s">
        <v>349</v>
      </c>
      <c r="K22" s="18" t="n">
        <v>0.60421303</v>
      </c>
      <c r="L22" s="20" t="n">
        <v>0.47198877</v>
      </c>
      <c r="M22" s="18" t="n">
        <v>0</v>
      </c>
      <c r="N22" s="20" t="n">
        <v>0</v>
      </c>
      <c r="O22" s="18" t="n">
        <v>0</v>
      </c>
      <c r="P22" s="20" t="n">
        <v>0</v>
      </c>
      <c r="Q22" s="18" t="n">
        <v>38.1419483</v>
      </c>
      <c r="R22" s="20" t="n">
        <v>2.65359276</v>
      </c>
    </row>
    <row r="23" spans="1:18">
      <c r="A23" s="15" t="s">
        <v>365</v>
      </c>
      <c r="B23" s="17" t="n">
        <v>5791</v>
      </c>
      <c r="C23" s="18">
        <f>(5091.0/B23*100)</f>
        <v/>
      </c>
      <c r="D23" s="19" t="n">
        <v>700</v>
      </c>
      <c r="E23" s="18" t="n">
        <v>50.76333597</v>
      </c>
      <c r="F23" s="20" t="n">
        <v>2.60483397</v>
      </c>
      <c r="G23" s="18" t="n">
        <v>11.75506754</v>
      </c>
      <c r="H23" s="20" t="n">
        <v>1.55321362</v>
      </c>
      <c r="I23" s="18" t="s">
        <v>349</v>
      </c>
      <c r="J23" s="20" t="s">
        <v>349</v>
      </c>
      <c r="K23" s="18" t="n">
        <v>0.01201239</v>
      </c>
      <c r="L23" s="20" t="n">
        <v>0.01208034</v>
      </c>
      <c r="M23" s="18" t="n">
        <v>0</v>
      </c>
      <c r="N23" s="20" t="n">
        <v>0</v>
      </c>
      <c r="O23" s="18" t="n">
        <v>0</v>
      </c>
      <c r="P23" s="20" t="n">
        <v>0</v>
      </c>
      <c r="Q23" s="18" t="n">
        <v>37.4695841</v>
      </c>
      <c r="R23" s="20" t="n">
        <v>2.51431462</v>
      </c>
    </row>
    <row r="24" spans="1:18">
      <c r="A24" s="15" t="s">
        <v>366</v>
      </c>
      <c r="B24" s="17" t="n">
        <v>3338</v>
      </c>
      <c r="C24" s="18">
        <f>(2910.0/B24*100)</f>
        <v/>
      </c>
      <c r="D24" s="19" t="n">
        <v>428</v>
      </c>
      <c r="E24" s="18" t="n">
        <v>43.43526456</v>
      </c>
      <c r="F24" s="20" t="n">
        <v>2.35551089</v>
      </c>
      <c r="G24" s="18" t="n">
        <v>25.62002159</v>
      </c>
      <c r="H24" s="20" t="n">
        <v>2.36047021</v>
      </c>
      <c r="I24" s="18" t="s">
        <v>349</v>
      </c>
      <c r="J24" s="20" t="s">
        <v>349</v>
      </c>
      <c r="K24" s="18" t="n">
        <v>0.21543772</v>
      </c>
      <c r="L24" s="20" t="n">
        <v>0.21727958</v>
      </c>
      <c r="M24" s="18" t="n">
        <v>0.22809391</v>
      </c>
      <c r="N24" s="20" t="n">
        <v>0.22853349</v>
      </c>
      <c r="O24" s="18" t="n">
        <v>0</v>
      </c>
      <c r="P24" s="20" t="n">
        <v>0</v>
      </c>
      <c r="Q24" s="18" t="n">
        <v>30.50118222</v>
      </c>
      <c r="R24" s="20" t="n">
        <v>2.44046307</v>
      </c>
    </row>
    <row r="25" spans="1:18">
      <c r="A25" s="15" t="s">
        <v>367</v>
      </c>
      <c r="B25" s="17" t="n">
        <v>2912</v>
      </c>
      <c r="C25" s="18">
        <f>(2563.0/B25*100)</f>
        <v/>
      </c>
      <c r="D25" s="19" t="n">
        <v>349</v>
      </c>
      <c r="E25" s="18" t="n">
        <v>60.40888301</v>
      </c>
      <c r="F25" s="20" t="n">
        <v>3.04811627</v>
      </c>
      <c r="G25" s="18" t="n">
        <v>23.49080016</v>
      </c>
      <c r="H25" s="20" t="n">
        <v>2.60138812</v>
      </c>
      <c r="I25" s="18" t="s">
        <v>349</v>
      </c>
      <c r="J25" s="20" t="s">
        <v>349</v>
      </c>
      <c r="K25" s="18" t="n">
        <v>0</v>
      </c>
      <c r="L25" s="20" t="n">
        <v>0</v>
      </c>
      <c r="M25" s="18" t="n">
        <v>0</v>
      </c>
      <c r="N25" s="20" t="n">
        <v>0</v>
      </c>
      <c r="O25" s="18" t="n">
        <v>0</v>
      </c>
      <c r="P25" s="20" t="n">
        <v>0</v>
      </c>
      <c r="Q25" s="18" t="n">
        <v>16.10031683</v>
      </c>
      <c r="R25" s="20" t="n">
        <v>2.1064899</v>
      </c>
    </row>
    <row r="26" spans="1:18">
      <c r="A26" s="15" t="s">
        <v>368</v>
      </c>
      <c r="B26" s="17" t="n">
        <v>2450</v>
      </c>
      <c r="C26" s="18">
        <f>(2161.0/B26*100)</f>
        <v/>
      </c>
      <c r="D26" s="19" t="n">
        <v>289</v>
      </c>
      <c r="E26" s="18" t="n">
        <v>69.17388833</v>
      </c>
      <c r="F26" s="20" t="n">
        <v>3.17506429</v>
      </c>
      <c r="G26" s="18" t="n">
        <v>10.40768273</v>
      </c>
      <c r="H26" s="20" t="n">
        <v>1.81255218</v>
      </c>
      <c r="I26" s="18" t="s">
        <v>349</v>
      </c>
      <c r="J26" s="20" t="s">
        <v>349</v>
      </c>
      <c r="K26" s="18" t="n">
        <v>0</v>
      </c>
      <c r="L26" s="20" t="n">
        <v>0</v>
      </c>
      <c r="M26" s="18" t="n">
        <v>0</v>
      </c>
      <c r="N26" s="20" t="n">
        <v>0</v>
      </c>
      <c r="O26" s="18" t="n">
        <v>0</v>
      </c>
      <c r="P26" s="20" t="n">
        <v>0</v>
      </c>
      <c r="Q26" s="18" t="n">
        <v>20.41842894</v>
      </c>
      <c r="R26" s="20" t="n">
        <v>2.53512946</v>
      </c>
    </row>
    <row r="27" spans="1:18">
      <c r="A27" s="15" t="s">
        <v>369</v>
      </c>
      <c r="B27" s="17" t="n">
        <v>2616</v>
      </c>
      <c r="C27" s="18">
        <f>(2290.0/B27*100)</f>
        <v/>
      </c>
      <c r="D27" s="19" t="n">
        <v>326</v>
      </c>
      <c r="E27" s="18" t="n">
        <v>61.6218098</v>
      </c>
      <c r="F27" s="20" t="n">
        <v>2.90326061</v>
      </c>
      <c r="G27" s="18" t="n">
        <v>11.80859728</v>
      </c>
      <c r="H27" s="20" t="n">
        <v>1.89357081</v>
      </c>
      <c r="I27" s="18" t="s">
        <v>349</v>
      </c>
      <c r="J27" s="20" t="s">
        <v>349</v>
      </c>
      <c r="K27" s="18" t="n">
        <v>0.62985523</v>
      </c>
      <c r="L27" s="20" t="n">
        <v>0.44986737</v>
      </c>
      <c r="M27" s="18" t="n">
        <v>0.29213387</v>
      </c>
      <c r="N27" s="20" t="n">
        <v>0.2945232</v>
      </c>
      <c r="O27" s="18" t="n">
        <v>0</v>
      </c>
      <c r="P27" s="20" t="n">
        <v>0</v>
      </c>
      <c r="Q27" s="18" t="n">
        <v>25.64760382</v>
      </c>
      <c r="R27" s="20" t="n">
        <v>2.598496</v>
      </c>
    </row>
    <row r="28" spans="1:18">
      <c r="A28" s="15" t="s">
        <v>370</v>
      </c>
      <c r="B28" s="17" t="n">
        <v>3765</v>
      </c>
      <c r="C28" s="18">
        <f>(3359.0/B28*100)</f>
        <v/>
      </c>
      <c r="D28" s="19" t="n">
        <v>406</v>
      </c>
      <c r="E28" s="18" t="n">
        <v>78.73507662999999</v>
      </c>
      <c r="F28" s="20" t="n">
        <v>2.6031223</v>
      </c>
      <c r="G28" s="18" t="n">
        <v>3.04473027</v>
      </c>
      <c r="H28" s="20" t="n">
        <v>1.20898392</v>
      </c>
      <c r="I28" s="18" t="s">
        <v>349</v>
      </c>
      <c r="J28" s="20" t="s">
        <v>349</v>
      </c>
      <c r="K28" s="18" t="n">
        <v>0.75929661</v>
      </c>
      <c r="L28" s="20" t="n">
        <v>0.55754257</v>
      </c>
      <c r="M28" s="18" t="n">
        <v>0</v>
      </c>
      <c r="N28" s="20" t="n">
        <v>0</v>
      </c>
      <c r="O28" s="18" t="n">
        <v>0</v>
      </c>
      <c r="P28" s="20" t="n">
        <v>0</v>
      </c>
      <c r="Q28" s="18" t="n">
        <v>17.46089649</v>
      </c>
      <c r="R28" s="20" t="n">
        <v>2.14287083</v>
      </c>
    </row>
    <row r="29" spans="1:18">
      <c r="A29" s="15" t="s">
        <v>371</v>
      </c>
      <c r="B29" s="17" t="n">
        <v>2685</v>
      </c>
      <c r="C29" s="18">
        <f>(2388.0/B29*100)</f>
        <v/>
      </c>
      <c r="D29" s="19" t="n">
        <v>297</v>
      </c>
      <c r="E29" s="18" t="n">
        <v>70.35986918</v>
      </c>
      <c r="F29" s="20" t="n">
        <v>2.38047165</v>
      </c>
      <c r="G29" s="18" t="n">
        <v>13.84501204</v>
      </c>
      <c r="H29" s="20" t="n">
        <v>1.88415794</v>
      </c>
      <c r="I29" s="18" t="s">
        <v>349</v>
      </c>
      <c r="J29" s="20" t="s">
        <v>349</v>
      </c>
      <c r="K29" s="18" t="n">
        <v>0.34441581</v>
      </c>
      <c r="L29" s="20" t="n">
        <v>0.34410205</v>
      </c>
      <c r="M29" s="18" t="n">
        <v>0.25885506</v>
      </c>
      <c r="N29" s="20" t="n">
        <v>0.24669076</v>
      </c>
      <c r="O29" s="18" t="n">
        <v>0</v>
      </c>
      <c r="P29" s="20" t="n">
        <v>0</v>
      </c>
      <c r="Q29" s="18" t="n">
        <v>15.19184791</v>
      </c>
      <c r="R29" s="20" t="n">
        <v>1.89565173</v>
      </c>
    </row>
    <row r="30" spans="1:18">
      <c r="A30" s="15" t="s">
        <v>372</v>
      </c>
      <c r="B30" s="17" t="n">
        <v>2263</v>
      </c>
      <c r="C30" s="18">
        <f>(1987.0/B30*100)</f>
        <v/>
      </c>
      <c r="D30" s="19" t="n">
        <v>276</v>
      </c>
      <c r="E30" s="18" t="n">
        <v>63.09416804</v>
      </c>
      <c r="F30" s="20" t="n">
        <v>2.97193881</v>
      </c>
      <c r="G30" s="18" t="n">
        <v>14.92397022</v>
      </c>
      <c r="H30" s="20" t="n">
        <v>2.36939118</v>
      </c>
      <c r="I30" s="18" t="s">
        <v>349</v>
      </c>
      <c r="J30" s="20" t="s">
        <v>349</v>
      </c>
      <c r="K30" s="18" t="n">
        <v>0.34017256</v>
      </c>
      <c r="L30" s="20" t="n">
        <v>0.49940666</v>
      </c>
      <c r="M30" s="18" t="n">
        <v>0.72219381</v>
      </c>
      <c r="N30" s="20" t="n">
        <v>0.64892233</v>
      </c>
      <c r="O30" s="18" t="n">
        <v>0</v>
      </c>
      <c r="P30" s="20" t="n">
        <v>0</v>
      </c>
      <c r="Q30" s="18" t="n">
        <v>20.91949537</v>
      </c>
      <c r="R30" s="20" t="n">
        <v>2.50206443</v>
      </c>
    </row>
    <row r="31" spans="1:18">
      <c r="A31" s="15" t="s">
        <v>373</v>
      </c>
      <c r="B31" s="17" t="n">
        <v>2750</v>
      </c>
      <c r="C31" s="18">
        <f>(2411.0/B31*100)</f>
        <v/>
      </c>
      <c r="D31" s="19" t="n">
        <v>339</v>
      </c>
      <c r="E31" s="18" t="n">
        <v>58.1946724</v>
      </c>
      <c r="F31" s="20" t="n">
        <v>2.90924325</v>
      </c>
      <c r="G31" s="18" t="n">
        <v>12.28594345</v>
      </c>
      <c r="H31" s="20" t="n">
        <v>2.069933</v>
      </c>
      <c r="I31" s="18" t="s">
        <v>349</v>
      </c>
      <c r="J31" s="20" t="s">
        <v>349</v>
      </c>
      <c r="K31" s="18" t="n">
        <v>1.18402551</v>
      </c>
      <c r="L31" s="20" t="n">
        <v>0.57179315</v>
      </c>
      <c r="M31" s="18" t="n">
        <v>0.30077637</v>
      </c>
      <c r="N31" s="20" t="n">
        <v>0.25299476</v>
      </c>
      <c r="O31" s="18" t="n">
        <v>0</v>
      </c>
      <c r="P31" s="20" t="n">
        <v>0</v>
      </c>
      <c r="Q31" s="18" t="n">
        <v>28.03458226</v>
      </c>
      <c r="R31" s="20" t="n">
        <v>2.53270684</v>
      </c>
    </row>
    <row r="32" spans="1:18">
      <c r="A32" s="15" t="s">
        <v>374</v>
      </c>
      <c r="B32" s="17" t="n">
        <v>2269</v>
      </c>
      <c r="C32" s="18">
        <f>(1871.0/B32*100)</f>
        <v/>
      </c>
      <c r="D32" s="19" t="n">
        <v>398</v>
      </c>
      <c r="E32" s="18" t="n">
        <v>60.94724074</v>
      </c>
      <c r="F32" s="20" t="n">
        <v>2.73035977</v>
      </c>
      <c r="G32" s="18" t="n">
        <v>16.56441725</v>
      </c>
      <c r="H32" s="20" t="n">
        <v>1.80483193</v>
      </c>
      <c r="I32" s="18" t="s">
        <v>349</v>
      </c>
      <c r="J32" s="20" t="s">
        <v>349</v>
      </c>
      <c r="K32" s="18" t="n">
        <v>0</v>
      </c>
      <c r="L32" s="20" t="n">
        <v>0</v>
      </c>
      <c r="M32" s="18" t="n">
        <v>0</v>
      </c>
      <c r="N32" s="20" t="n">
        <v>0</v>
      </c>
      <c r="O32" s="18" t="n">
        <v>0</v>
      </c>
      <c r="P32" s="20" t="n">
        <v>0</v>
      </c>
      <c r="Q32" s="18" t="n">
        <v>22.488342</v>
      </c>
      <c r="R32" s="20" t="n">
        <v>2.37712763</v>
      </c>
    </row>
    <row r="33" spans="1:18">
      <c r="A33" s="15" t="s">
        <v>375</v>
      </c>
      <c r="B33" s="17" t="n">
        <v>3674</v>
      </c>
      <c r="C33" s="18">
        <f>(3238.0/B33*100)</f>
        <v/>
      </c>
      <c r="D33" s="19" t="n">
        <v>436</v>
      </c>
      <c r="E33" s="18" t="n">
        <v>53.37032182</v>
      </c>
      <c r="F33" s="20" t="n">
        <v>2.54692444</v>
      </c>
      <c r="G33" s="18" t="n">
        <v>12.08073228</v>
      </c>
      <c r="H33" s="20" t="n">
        <v>1.55252581</v>
      </c>
      <c r="I33" s="18" t="s">
        <v>349</v>
      </c>
      <c r="J33" s="20" t="s">
        <v>349</v>
      </c>
      <c r="K33" s="18" t="n">
        <v>0.42822277</v>
      </c>
      <c r="L33" s="20" t="n">
        <v>0.43799116</v>
      </c>
      <c r="M33" s="18" t="n">
        <v>0</v>
      </c>
      <c r="N33" s="20" t="n">
        <v>0</v>
      </c>
      <c r="O33" s="18" t="n">
        <v>0</v>
      </c>
      <c r="P33" s="20" t="n">
        <v>0</v>
      </c>
      <c r="Q33" s="18" t="n">
        <v>34.12072313</v>
      </c>
      <c r="R33" s="20" t="n">
        <v>2.38150358</v>
      </c>
    </row>
    <row r="34" spans="1:18">
      <c r="A34" s="15" t="s">
        <v>376</v>
      </c>
      <c r="B34" s="17" t="n">
        <v>3315</v>
      </c>
      <c r="C34" s="18">
        <f>(2902.0/B34*100)</f>
        <v/>
      </c>
      <c r="D34" s="19" t="n">
        <v>413</v>
      </c>
      <c r="E34" s="18" t="n">
        <v>70.71827371000001</v>
      </c>
      <c r="F34" s="20" t="n">
        <v>2.42850198</v>
      </c>
      <c r="G34" s="18" t="n">
        <v>13.29620413</v>
      </c>
      <c r="H34" s="20" t="n">
        <v>2.04464224</v>
      </c>
      <c r="I34" s="18" t="s">
        <v>349</v>
      </c>
      <c r="J34" s="20" t="s">
        <v>349</v>
      </c>
      <c r="K34" s="18" t="n">
        <v>0.25855377</v>
      </c>
      <c r="L34" s="20" t="n">
        <v>0.26449111</v>
      </c>
      <c r="M34" s="18" t="n">
        <v>0</v>
      </c>
      <c r="N34" s="20" t="n">
        <v>0</v>
      </c>
      <c r="O34" s="18" t="n">
        <v>0</v>
      </c>
      <c r="P34" s="20" t="n">
        <v>0</v>
      </c>
      <c r="Q34" s="18" t="n">
        <v>15.72696839</v>
      </c>
      <c r="R34" s="20" t="n">
        <v>1.63538077</v>
      </c>
    </row>
    <row r="35" spans="1:18">
      <c r="A35" s="15" t="s">
        <v>377</v>
      </c>
      <c r="B35" s="17" t="n">
        <v>3505</v>
      </c>
      <c r="C35" s="18">
        <f>(3061.0/B35*100)</f>
        <v/>
      </c>
      <c r="D35" s="19" t="n">
        <v>444</v>
      </c>
      <c r="E35" s="18" t="n">
        <v>58.103912</v>
      </c>
      <c r="F35" s="20" t="n">
        <v>2.60675151</v>
      </c>
      <c r="G35" s="18" t="n">
        <v>19.41077355</v>
      </c>
      <c r="H35" s="20" t="n">
        <v>2.40289792</v>
      </c>
      <c r="I35" s="18" t="s">
        <v>349</v>
      </c>
      <c r="J35" s="20" t="s">
        <v>349</v>
      </c>
      <c r="K35" s="18" t="n">
        <v>0.21989663</v>
      </c>
      <c r="L35" s="20" t="n">
        <v>0.15842578</v>
      </c>
      <c r="M35" s="18" t="n">
        <v>0</v>
      </c>
      <c r="N35" s="20" t="n">
        <v>0</v>
      </c>
      <c r="O35" s="18" t="n">
        <v>0</v>
      </c>
      <c r="P35" s="20" t="n">
        <v>0</v>
      </c>
      <c r="Q35" s="18" t="n">
        <v>22.26541782</v>
      </c>
      <c r="R35" s="20" t="n">
        <v>2.16254459</v>
      </c>
    </row>
    <row r="36" spans="1:18">
      <c r="A36" s="15" t="s">
        <v>378</v>
      </c>
      <c r="B36" s="17" t="n">
        <v>3332</v>
      </c>
      <c r="C36" s="18">
        <f>(2922.0/B36*100)</f>
        <v/>
      </c>
      <c r="D36" s="19" t="n">
        <v>410</v>
      </c>
      <c r="E36" s="18" t="n">
        <v>52.34398154</v>
      </c>
      <c r="F36" s="20" t="n">
        <v>3.02080228</v>
      </c>
      <c r="G36" s="18" t="n">
        <v>13.10398351</v>
      </c>
      <c r="H36" s="20" t="n">
        <v>1.76093848</v>
      </c>
      <c r="I36" s="18" t="s">
        <v>349</v>
      </c>
      <c r="J36" s="20" t="s">
        <v>349</v>
      </c>
      <c r="K36" s="18" t="n">
        <v>1.00706391</v>
      </c>
      <c r="L36" s="20" t="n">
        <v>0.5323166</v>
      </c>
      <c r="M36" s="18" t="n">
        <v>0.45355754</v>
      </c>
      <c r="N36" s="20" t="n">
        <v>0.45779879</v>
      </c>
      <c r="O36" s="18" t="n">
        <v>0</v>
      </c>
      <c r="P36" s="20" t="n">
        <v>0</v>
      </c>
      <c r="Q36" s="18" t="n">
        <v>33.0914135</v>
      </c>
      <c r="R36" s="20" t="n">
        <v>2.24498307</v>
      </c>
    </row>
    <row r="37" spans="1:18">
      <c r="A37" s="15" t="s">
        <v>379</v>
      </c>
      <c r="B37" s="17" t="n">
        <v>2727</v>
      </c>
      <c r="C37" s="18">
        <f>(2409.0/B37*100)</f>
        <v/>
      </c>
      <c r="D37" s="19" t="n">
        <v>318</v>
      </c>
      <c r="E37" s="18" t="n">
        <v>60.67384691</v>
      </c>
      <c r="F37" s="20" t="n">
        <v>2.8023438</v>
      </c>
      <c r="G37" s="18" t="n">
        <v>11.43275675</v>
      </c>
      <c r="H37" s="20" t="n">
        <v>2.19370256</v>
      </c>
      <c r="I37" s="18" t="s">
        <v>349</v>
      </c>
      <c r="J37" s="20" t="s">
        <v>349</v>
      </c>
      <c r="K37" s="18" t="n">
        <v>1.43548573</v>
      </c>
      <c r="L37" s="20" t="n">
        <v>0.73781086</v>
      </c>
      <c r="M37" s="18" t="n">
        <v>0</v>
      </c>
      <c r="N37" s="20" t="n">
        <v>0</v>
      </c>
      <c r="O37" s="18" t="n">
        <v>0</v>
      </c>
      <c r="P37" s="20" t="n">
        <v>0</v>
      </c>
      <c r="Q37" s="18" t="n">
        <v>26.4579106</v>
      </c>
      <c r="R37" s="20" t="n">
        <v>2.42386912</v>
      </c>
    </row>
    <row r="38" spans="1:18">
      <c r="A38" s="15" t="s">
        <v>380</v>
      </c>
      <c r="B38" s="17" t="n">
        <v>3053</v>
      </c>
      <c r="C38" s="18">
        <f>(2590.0/B38*100)</f>
        <v/>
      </c>
      <c r="D38" s="19" t="n">
        <v>463</v>
      </c>
      <c r="E38" s="18" t="n">
        <v>48.3740886</v>
      </c>
      <c r="F38" s="20" t="n">
        <v>2.86437911</v>
      </c>
      <c r="G38" s="18" t="n">
        <v>27.48038018</v>
      </c>
      <c r="H38" s="20" t="n">
        <v>2.7521015</v>
      </c>
      <c r="I38" s="18" t="s">
        <v>349</v>
      </c>
      <c r="J38" s="20" t="s">
        <v>349</v>
      </c>
      <c r="K38" s="18" t="n">
        <v>0.4253284</v>
      </c>
      <c r="L38" s="20" t="n">
        <v>0.33689655</v>
      </c>
      <c r="M38" s="18" t="n">
        <v>0</v>
      </c>
      <c r="N38" s="20" t="n">
        <v>0</v>
      </c>
      <c r="O38" s="18" t="n">
        <v>0</v>
      </c>
      <c r="P38" s="20" t="n">
        <v>0</v>
      </c>
      <c r="Q38" s="18" t="n">
        <v>23.72020282</v>
      </c>
      <c r="R38" s="20" t="n">
        <v>2.19606604</v>
      </c>
    </row>
    <row r="39" spans="1:18">
      <c r="A39" s="15" t="s">
        <v>381</v>
      </c>
      <c r="B39" s="17" t="n">
        <v>2957</v>
      </c>
      <c r="C39" s="18">
        <f>(2593.0/B39*100)</f>
        <v/>
      </c>
      <c r="D39" s="19" t="n">
        <v>364</v>
      </c>
      <c r="E39" s="18" t="n">
        <v>73.70011391</v>
      </c>
      <c r="F39" s="20" t="n">
        <v>2.10181517</v>
      </c>
      <c r="G39" s="18" t="n">
        <v>0.62513953</v>
      </c>
      <c r="H39" s="20" t="n">
        <v>0.37092817</v>
      </c>
      <c r="I39" s="18" t="s">
        <v>349</v>
      </c>
      <c r="J39" s="20" t="s">
        <v>349</v>
      </c>
      <c r="K39" s="18" t="n">
        <v>0.6857607100000001</v>
      </c>
      <c r="L39" s="20" t="n">
        <v>0.41672458</v>
      </c>
      <c r="M39" s="18" t="n">
        <v>0</v>
      </c>
      <c r="N39" s="20" t="n">
        <v>0</v>
      </c>
      <c r="O39" s="18" t="n">
        <v>0</v>
      </c>
      <c r="P39" s="20" t="n">
        <v>0</v>
      </c>
      <c r="Q39" s="18" t="n">
        <v>24.98898586</v>
      </c>
      <c r="R39" s="20" t="n">
        <v>2.24514442</v>
      </c>
    </row>
    <row r="40" spans="1:18">
      <c r="A40" s="15" t="s">
        <v>382</v>
      </c>
      <c r="B40" s="17" t="n">
        <v>7235</v>
      </c>
      <c r="C40" s="18">
        <f>(6335.0/B40*100)</f>
        <v/>
      </c>
      <c r="D40" s="19" t="n">
        <v>900</v>
      </c>
      <c r="E40" s="18" t="n">
        <v>61.93784962</v>
      </c>
      <c r="F40" s="20" t="n">
        <v>2.54162536</v>
      </c>
      <c r="G40" s="18" t="n">
        <v>11.03334663</v>
      </c>
      <c r="H40" s="20" t="n">
        <v>1.62711191</v>
      </c>
      <c r="I40" s="18" t="s">
        <v>349</v>
      </c>
      <c r="J40" s="20" t="s">
        <v>349</v>
      </c>
      <c r="K40" s="18" t="n">
        <v>0.27564964</v>
      </c>
      <c r="L40" s="20" t="n">
        <v>0.19500545</v>
      </c>
      <c r="M40" s="18" t="n">
        <v>0.17864357</v>
      </c>
      <c r="N40" s="20" t="n">
        <v>0.17162952</v>
      </c>
      <c r="O40" s="18" t="n">
        <v>0</v>
      </c>
      <c r="P40" s="20" t="n">
        <v>0</v>
      </c>
      <c r="Q40" s="18" t="n">
        <v>26.57451054</v>
      </c>
      <c r="R40" s="20" t="n">
        <v>2.44901645</v>
      </c>
    </row>
    <row r="41" spans="1:18">
      <c r="A41" s="15" t="s">
        <v>383</v>
      </c>
      <c r="B41" s="17" t="n">
        <v>2858</v>
      </c>
      <c r="C41" s="18">
        <f>(2514.0/B41*100)</f>
        <v/>
      </c>
      <c r="D41" s="19" t="n">
        <v>344</v>
      </c>
      <c r="E41" s="18" t="n">
        <v>85.3766251</v>
      </c>
      <c r="F41" s="20" t="n">
        <v>2.14179121</v>
      </c>
      <c r="G41" s="18" t="n">
        <v>4.5082892</v>
      </c>
      <c r="H41" s="20" t="n">
        <v>1.16600596</v>
      </c>
      <c r="I41" s="18" t="s">
        <v>349</v>
      </c>
      <c r="J41" s="20" t="s">
        <v>349</v>
      </c>
      <c r="K41" s="18" t="n">
        <v>1.31345995</v>
      </c>
      <c r="L41" s="20" t="n">
        <v>0.91485277</v>
      </c>
      <c r="M41" s="18" t="n">
        <v>0</v>
      </c>
      <c r="N41" s="20" t="n">
        <v>0</v>
      </c>
      <c r="O41" s="18" t="n">
        <v>0</v>
      </c>
      <c r="P41" s="20" t="n">
        <v>0</v>
      </c>
      <c r="Q41" s="18" t="n">
        <v>8.801625749999999</v>
      </c>
      <c r="R41" s="20" t="n">
        <v>1.84434362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(9885.0/B46*100)</f>
        <v/>
      </c>
      <c r="D46" s="19" t="n">
        <v>1183</v>
      </c>
      <c r="E46" s="18" t="n">
        <v>61.6420977</v>
      </c>
      <c r="F46" s="20" t="n">
        <v>2.13460576</v>
      </c>
      <c r="G46" s="18" t="n">
        <v>1.82440144</v>
      </c>
      <c r="H46" s="20" t="n">
        <v>0.61102868</v>
      </c>
      <c r="I46" s="18" t="s">
        <v>349</v>
      </c>
      <c r="J46" s="20" t="s">
        <v>349</v>
      </c>
      <c r="K46" s="18" t="n">
        <v>0.87467032</v>
      </c>
      <c r="L46" s="20" t="n">
        <v>0.29098808</v>
      </c>
      <c r="M46" s="18" t="n">
        <v>0.44440512</v>
      </c>
      <c r="N46" s="20" t="n">
        <v>0.26183658</v>
      </c>
      <c r="O46" s="18" t="n">
        <v>0</v>
      </c>
      <c r="P46" s="20" t="n">
        <v>0</v>
      </c>
      <c r="Q46" s="18" t="n">
        <v>35.21442542</v>
      </c>
      <c r="R46" s="20" t="n">
        <v>2.04694519</v>
      </c>
    </row>
    <row r="47" spans="1:18">
      <c r="A47" s="15" t="s">
        <v>389</v>
      </c>
      <c r="B47" s="17" t="n">
        <v>3105</v>
      </c>
      <c r="C47" s="18">
        <f>(2725.0/B47*100)</f>
        <v/>
      </c>
      <c r="D47" s="19" t="n">
        <v>380</v>
      </c>
      <c r="E47" s="18" t="n">
        <v>72.80166027999999</v>
      </c>
      <c r="F47" s="20" t="n">
        <v>2.42596558</v>
      </c>
      <c r="G47" s="18" t="n">
        <v>4.62546814</v>
      </c>
      <c r="H47" s="20" t="n">
        <v>1.07209441</v>
      </c>
      <c r="I47" s="18" t="s">
        <v>349</v>
      </c>
      <c r="J47" s="20" t="s">
        <v>349</v>
      </c>
      <c r="K47" s="18" t="n">
        <v>0.2429216</v>
      </c>
      <c r="L47" s="20" t="n">
        <v>0.24486197</v>
      </c>
      <c r="M47" s="18" t="n">
        <v>0</v>
      </c>
      <c r="N47" s="20" t="n">
        <v>0</v>
      </c>
      <c r="O47" s="18" t="n">
        <v>0</v>
      </c>
      <c r="P47" s="20" t="n">
        <v>0</v>
      </c>
      <c r="Q47" s="18" t="n">
        <v>22.32994998</v>
      </c>
      <c r="R47" s="20" t="n">
        <v>2.29883176</v>
      </c>
    </row>
    <row r="48" spans="1:18">
      <c r="A48" s="15" t="s">
        <v>390</v>
      </c>
      <c r="B48" s="17" t="n">
        <v>5159</v>
      </c>
      <c r="C48" s="18">
        <f>(4532.0/B48*100)</f>
        <v/>
      </c>
      <c r="D48" s="19" t="n">
        <v>627</v>
      </c>
      <c r="E48" s="18" t="n">
        <v>57.61589861</v>
      </c>
      <c r="F48" s="20" t="n">
        <v>2.26211259</v>
      </c>
      <c r="G48" s="18" t="n">
        <v>31.01168808</v>
      </c>
      <c r="H48" s="20" t="n">
        <v>2.09015679</v>
      </c>
      <c r="I48" s="18" t="s">
        <v>349</v>
      </c>
      <c r="J48" s="20" t="s">
        <v>349</v>
      </c>
      <c r="K48" s="18" t="n">
        <v>0.51124422</v>
      </c>
      <c r="L48" s="20" t="n">
        <v>0.35213191</v>
      </c>
      <c r="M48" s="18" t="n">
        <v>0</v>
      </c>
      <c r="N48" s="20" t="n">
        <v>0</v>
      </c>
      <c r="O48" s="18" t="n">
        <v>0</v>
      </c>
      <c r="P48" s="20" t="n">
        <v>0</v>
      </c>
      <c r="Q48" s="18" t="n">
        <v>10.86116908</v>
      </c>
      <c r="R48" s="20" t="n">
        <v>1.39066974</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(4945.0/B50*100)</f>
        <v/>
      </c>
      <c r="D50" s="19" t="n">
        <v>692</v>
      </c>
      <c r="E50" s="18" t="n">
        <v>76.44745996</v>
      </c>
      <c r="F50" s="20" t="n">
        <v>1.69656718</v>
      </c>
      <c r="G50" s="18" t="n">
        <v>2.31463411</v>
      </c>
      <c r="H50" s="20" t="n">
        <v>0.7115366</v>
      </c>
      <c r="I50" s="18" t="s">
        <v>349</v>
      </c>
      <c r="J50" s="20" t="s">
        <v>349</v>
      </c>
      <c r="K50" s="18" t="n">
        <v>0.79849958</v>
      </c>
      <c r="L50" s="20" t="n">
        <v>0.4266286</v>
      </c>
      <c r="M50" s="18" t="n">
        <v>0.31409563</v>
      </c>
      <c r="N50" s="20" t="n">
        <v>0.27237245</v>
      </c>
      <c r="O50" s="18" t="n">
        <v>0</v>
      </c>
      <c r="P50" s="20" t="n">
        <v>0</v>
      </c>
      <c r="Q50" s="18" t="n">
        <v>20.12531071</v>
      </c>
      <c r="R50" s="20" t="n">
        <v>1.88579564</v>
      </c>
    </row>
    <row r="51" spans="1:18">
      <c r="A51" s="15" t="s">
        <v>393</v>
      </c>
      <c r="B51" s="17" t="n">
        <v>3372</v>
      </c>
      <c r="C51" s="18">
        <f>(3025.0/B51*100)</f>
        <v/>
      </c>
      <c r="D51" s="19" t="n">
        <v>347</v>
      </c>
      <c r="E51" s="18" t="n">
        <v>73.9926933</v>
      </c>
      <c r="F51" s="20" t="n">
        <v>2.72295701</v>
      </c>
      <c r="G51" s="18" t="n">
        <v>1.39501313</v>
      </c>
      <c r="H51" s="20" t="n">
        <v>0.68990753</v>
      </c>
      <c r="I51" s="18" t="s">
        <v>349</v>
      </c>
      <c r="J51" s="20" t="s">
        <v>349</v>
      </c>
      <c r="K51" s="18" t="n">
        <v>0</v>
      </c>
      <c r="L51" s="20" t="n">
        <v>0</v>
      </c>
      <c r="M51" s="18" t="n">
        <v>0</v>
      </c>
      <c r="N51" s="20" t="n">
        <v>0</v>
      </c>
      <c r="O51" s="18" t="n">
        <v>0</v>
      </c>
      <c r="P51" s="20" t="n">
        <v>0</v>
      </c>
      <c r="Q51" s="18" t="n">
        <v>24.61229357</v>
      </c>
      <c r="R51" s="20" t="n">
        <v>2.66655669</v>
      </c>
    </row>
    <row r="52" spans="1:18">
      <c r="A52" s="15" t="s">
        <v>394</v>
      </c>
      <c r="B52" s="17" t="n">
        <v>2796</v>
      </c>
      <c r="C52" s="18">
        <f>(2461.0/B52*100)</f>
        <v/>
      </c>
      <c r="D52" s="19" t="n">
        <v>335</v>
      </c>
      <c r="E52" s="18" t="n">
        <v>58.44670072</v>
      </c>
      <c r="F52" s="20" t="n">
        <v>3.09717497</v>
      </c>
      <c r="G52" s="18" t="n">
        <v>10.48070243</v>
      </c>
      <c r="H52" s="20" t="n">
        <v>1.84151227</v>
      </c>
      <c r="I52" s="18" t="s">
        <v>349</v>
      </c>
      <c r="J52" s="20" t="s">
        <v>349</v>
      </c>
      <c r="K52" s="18" t="n">
        <v>0</v>
      </c>
      <c r="L52" s="20" t="n">
        <v>0</v>
      </c>
      <c r="M52" s="18" t="n">
        <v>0</v>
      </c>
      <c r="N52" s="20" t="n">
        <v>0</v>
      </c>
      <c r="O52" s="18" t="n">
        <v>0</v>
      </c>
      <c r="P52" s="20" t="n">
        <v>0</v>
      </c>
      <c r="Q52" s="18" t="n">
        <v>31.07259685</v>
      </c>
      <c r="R52" s="20" t="n">
        <v>2.4216287</v>
      </c>
    </row>
    <row r="53" spans="1:18">
      <c r="A53" s="15" t="s">
        <v>395</v>
      </c>
      <c r="B53" s="17" t="n">
        <v>2811</v>
      </c>
      <c r="C53" s="18">
        <f>(2465.0/B53*100)</f>
        <v/>
      </c>
      <c r="D53" s="19" t="n">
        <v>346</v>
      </c>
      <c r="E53" s="18" t="n">
        <v>62.21161199</v>
      </c>
      <c r="F53" s="20" t="n">
        <v>2.61672161</v>
      </c>
      <c r="G53" s="18" t="n">
        <v>4.9290183</v>
      </c>
      <c r="H53" s="20" t="n">
        <v>1.12796282</v>
      </c>
      <c r="I53" s="18" t="s">
        <v>349</v>
      </c>
      <c r="J53" s="20" t="s">
        <v>349</v>
      </c>
      <c r="K53" s="18" t="n">
        <v>0.42795896</v>
      </c>
      <c r="L53" s="20" t="n">
        <v>0.29697331</v>
      </c>
      <c r="M53" s="18" t="n">
        <v>0</v>
      </c>
      <c r="N53" s="20" t="n">
        <v>0</v>
      </c>
      <c r="O53" s="18" t="n">
        <v>0</v>
      </c>
      <c r="P53" s="20" t="n">
        <v>0</v>
      </c>
      <c r="Q53" s="18" t="n">
        <v>32.43141075</v>
      </c>
      <c r="R53" s="20" t="n">
        <v>2.46524656</v>
      </c>
    </row>
    <row r="54" spans="1:18">
      <c r="A54" s="15" t="s">
        <v>396</v>
      </c>
      <c r="B54" s="17" t="n">
        <v>2266</v>
      </c>
      <c r="C54" s="18">
        <f>(1884.0/B54*100)</f>
        <v/>
      </c>
      <c r="D54" s="19" t="n">
        <v>382</v>
      </c>
      <c r="E54" s="18" t="n">
        <v>54.72228541</v>
      </c>
      <c r="F54" s="20" t="n">
        <v>2.43292217</v>
      </c>
      <c r="G54" s="18" t="n">
        <v>0.50581063</v>
      </c>
      <c r="H54" s="20" t="n">
        <v>0.34821773</v>
      </c>
      <c r="I54" s="18" t="s">
        <v>349</v>
      </c>
      <c r="J54" s="20" t="s">
        <v>349</v>
      </c>
      <c r="K54" s="18" t="n">
        <v>8.6982157</v>
      </c>
      <c r="L54" s="20" t="n">
        <v>1.63708343</v>
      </c>
      <c r="M54" s="18" t="n">
        <v>1.00865379</v>
      </c>
      <c r="N54" s="20" t="n">
        <v>0.78566632</v>
      </c>
      <c r="O54" s="18" t="n">
        <v>0</v>
      </c>
      <c r="P54" s="20" t="n">
        <v>0</v>
      </c>
      <c r="Q54" s="18" t="n">
        <v>35.06503447</v>
      </c>
      <c r="R54" s="20" t="n">
        <v>2.25540098</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(2366.0/B56*100)</f>
        <v/>
      </c>
      <c r="D56" s="19" t="n">
        <v>318</v>
      </c>
      <c r="E56" s="18" t="n">
        <v>52.46726138</v>
      </c>
      <c r="F56" s="20" t="n">
        <v>2.65358409</v>
      </c>
      <c r="G56" s="18" t="n">
        <v>32.36970707</v>
      </c>
      <c r="H56" s="20" t="n">
        <v>2.75070943</v>
      </c>
      <c r="I56" s="18" t="s">
        <v>349</v>
      </c>
      <c r="J56" s="20" t="s">
        <v>349</v>
      </c>
      <c r="K56" s="18" t="n">
        <v>0</v>
      </c>
      <c r="L56" s="20" t="n">
        <v>0</v>
      </c>
      <c r="M56" s="18" t="n">
        <v>0</v>
      </c>
      <c r="N56" s="20" t="n">
        <v>0</v>
      </c>
      <c r="O56" s="18" t="n">
        <v>0</v>
      </c>
      <c r="P56" s="20" t="n">
        <v>0</v>
      </c>
      <c r="Q56" s="18" t="n">
        <v>15.16303155</v>
      </c>
      <c r="R56" s="20" t="n">
        <v>2.41052328</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(2930.0/B61*100)</f>
        <v/>
      </c>
      <c r="D61" s="19" t="n">
        <v>394</v>
      </c>
      <c r="E61" s="18" t="n">
        <v>55.61911373</v>
      </c>
      <c r="F61" s="20" t="n">
        <v>2.8931127</v>
      </c>
      <c r="G61" s="18" t="n">
        <v>12.05832947</v>
      </c>
      <c r="H61" s="20" t="n">
        <v>1.64984001</v>
      </c>
      <c r="I61" s="18" t="s">
        <v>349</v>
      </c>
      <c r="J61" s="20" t="s">
        <v>349</v>
      </c>
      <c r="K61" s="18" t="n">
        <v>0.54146345</v>
      </c>
      <c r="L61" s="20" t="n">
        <v>0.44346088</v>
      </c>
      <c r="M61" s="18" t="n">
        <v>0</v>
      </c>
      <c r="N61" s="20" t="n">
        <v>0</v>
      </c>
      <c r="O61" s="18" t="n">
        <v>0</v>
      </c>
      <c r="P61" s="20" t="n">
        <v>0</v>
      </c>
      <c r="Q61" s="18" t="n">
        <v>31.78109335</v>
      </c>
      <c r="R61" s="20" t="n">
        <v>2.62800493</v>
      </c>
    </row>
    <row r="62" spans="1:18">
      <c r="A62" s="15" t="s">
        <v>404</v>
      </c>
      <c r="B62" s="17" t="n">
        <v>2246</v>
      </c>
      <c r="C62" s="18">
        <f>(2002.0/B62*100)</f>
        <v/>
      </c>
      <c r="D62" s="19" t="n">
        <v>244</v>
      </c>
      <c r="E62" s="18" t="n">
        <v>66.80069520000001</v>
      </c>
      <c r="F62" s="20" t="n">
        <v>2.88855622</v>
      </c>
      <c r="G62" s="18" t="n">
        <v>20.11340606</v>
      </c>
      <c r="H62" s="20" t="n">
        <v>2.74088021</v>
      </c>
      <c r="I62" s="18" t="s">
        <v>349</v>
      </c>
      <c r="J62" s="20" t="s">
        <v>349</v>
      </c>
      <c r="K62" s="18" t="n">
        <v>0</v>
      </c>
      <c r="L62" s="20" t="n">
        <v>0</v>
      </c>
      <c r="M62" s="18" t="n">
        <v>0</v>
      </c>
      <c r="N62" s="20" t="n">
        <v>0</v>
      </c>
      <c r="O62" s="18" t="n">
        <v>0</v>
      </c>
      <c r="P62" s="20" t="n">
        <v>0</v>
      </c>
      <c r="Q62" s="18" t="n">
        <v>13.08589874</v>
      </c>
      <c r="R62" s="20" t="n">
        <v>2.12466751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(2544.0/B66*100)</f>
        <v/>
      </c>
      <c r="D66" s="19" t="n">
        <v>350</v>
      </c>
      <c r="E66" s="18" t="n">
        <v>47.68021645</v>
      </c>
      <c r="F66" s="20" t="n">
        <v>2.65854349</v>
      </c>
      <c r="G66" s="18" t="n">
        <v>3.44791383</v>
      </c>
      <c r="H66" s="20" t="n">
        <v>0.9588452</v>
      </c>
      <c r="I66" s="18" t="s">
        <v>349</v>
      </c>
      <c r="J66" s="20" t="s">
        <v>349</v>
      </c>
      <c r="K66" s="18" t="n">
        <v>0.55943959</v>
      </c>
      <c r="L66" s="20" t="n">
        <v>0.39518316</v>
      </c>
      <c r="M66" s="18" t="n">
        <v>0.50195494</v>
      </c>
      <c r="N66" s="20" t="n">
        <v>0.34869663</v>
      </c>
      <c r="O66" s="18" t="n">
        <v>0</v>
      </c>
      <c r="P66" s="20" t="n">
        <v>0</v>
      </c>
      <c r="Q66" s="18" t="n">
        <v>47.8104752</v>
      </c>
      <c r="R66" s="20" t="n">
        <v>2.64381833</v>
      </c>
    </row>
    <row r="67" spans="1:18">
      <c r="A67" s="15" t="s">
        <v>409</v>
      </c>
      <c r="B67" s="17" t="n">
        <v>3511</v>
      </c>
      <c r="C67" s="18">
        <f>(3119.0/B67*100)</f>
        <v/>
      </c>
      <c r="D67" s="19" t="n">
        <v>392</v>
      </c>
      <c r="E67" s="18" t="n">
        <v>66.83694858</v>
      </c>
      <c r="F67" s="20" t="n">
        <v>2.06238174</v>
      </c>
      <c r="G67" s="18" t="n">
        <v>1.30203034</v>
      </c>
      <c r="H67" s="20" t="n">
        <v>0.74920526</v>
      </c>
      <c r="I67" s="18" t="s">
        <v>349</v>
      </c>
      <c r="J67" s="20" t="s">
        <v>349</v>
      </c>
      <c r="K67" s="18" t="n">
        <v>0</v>
      </c>
      <c r="L67" s="20" t="n">
        <v>0</v>
      </c>
      <c r="M67" s="18" t="n">
        <v>0</v>
      </c>
      <c r="N67" s="20" t="n">
        <v>0</v>
      </c>
      <c r="O67" s="18" t="n">
        <v>0</v>
      </c>
      <c r="P67" s="20" t="n">
        <v>0</v>
      </c>
      <c r="Q67" s="18" t="n">
        <v>31.86102108</v>
      </c>
      <c r="R67" s="20" t="n">
        <v>2.23092176</v>
      </c>
    </row>
    <row r="68" spans="1:18">
      <c r="A68" s="15" t="s">
        <v>410</v>
      </c>
      <c r="B68" s="17" t="n">
        <v>6049</v>
      </c>
      <c r="C68" s="18">
        <f>(5069.0/B68*100)</f>
        <v/>
      </c>
      <c r="D68" s="19" t="n">
        <v>980</v>
      </c>
      <c r="E68" s="18" t="n">
        <v>64.09297356</v>
      </c>
      <c r="F68" s="20" t="n">
        <v>1.49451026</v>
      </c>
      <c r="G68" s="18" t="n">
        <v>3.50568518</v>
      </c>
      <c r="H68" s="20" t="n">
        <v>0.56740837</v>
      </c>
      <c r="I68" s="18" t="s">
        <v>349</v>
      </c>
      <c r="J68" s="20" t="s">
        <v>349</v>
      </c>
      <c r="K68" s="18" t="n">
        <v>2.42392543</v>
      </c>
      <c r="L68" s="20" t="n">
        <v>0.45120024</v>
      </c>
      <c r="M68" s="18" t="n">
        <v>0</v>
      </c>
      <c r="N68" s="20" t="n">
        <v>0</v>
      </c>
      <c r="O68" s="18" t="n">
        <v>0</v>
      </c>
      <c r="P68" s="20" t="n">
        <v>0</v>
      </c>
      <c r="Q68" s="18" t="n">
        <v>29.97741583</v>
      </c>
      <c r="R68" s="20" t="n">
        <v>1.44333037</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(2604.0/B70*100)</f>
        <v/>
      </c>
      <c r="D70" s="19" t="n">
        <v>325</v>
      </c>
      <c r="E70" s="18" t="n">
        <v>63.99516279</v>
      </c>
      <c r="F70" s="20" t="n">
        <v>3.44728189</v>
      </c>
      <c r="G70" s="18" t="n">
        <v>8.631401</v>
      </c>
      <c r="H70" s="20" t="n">
        <v>1.98109713</v>
      </c>
      <c r="I70" s="18" t="s">
        <v>349</v>
      </c>
      <c r="J70" s="20" t="s">
        <v>349</v>
      </c>
      <c r="K70" s="18" t="n">
        <v>0.15890927</v>
      </c>
      <c r="L70" s="20" t="n">
        <v>0.11345011</v>
      </c>
      <c r="M70" s="18" t="n">
        <v>1.28151171</v>
      </c>
      <c r="N70" s="20" t="n">
        <v>0.81570862</v>
      </c>
      <c r="O70" s="18" t="n">
        <v>0</v>
      </c>
      <c r="P70" s="20" t="n">
        <v>0</v>
      </c>
      <c r="Q70" s="18" t="n">
        <v>25.93301523</v>
      </c>
      <c r="R70" s="20" t="n">
        <v>2.98115873</v>
      </c>
    </row>
    <row r="71" spans="1:18">
      <c r="A71" s="15" t="s">
        <v>413</v>
      </c>
      <c r="B71" s="17" t="n">
        <v>3142</v>
      </c>
      <c r="C71" s="18">
        <f>(2749.0/B71*100)</f>
        <v/>
      </c>
      <c r="D71" s="19" t="n">
        <v>393</v>
      </c>
      <c r="E71" s="18" t="n">
        <v>46.592817</v>
      </c>
      <c r="F71" s="20" t="n">
        <v>2.15241293</v>
      </c>
      <c r="G71" s="18" t="n">
        <v>37.3628067</v>
      </c>
      <c r="H71" s="20" t="n">
        <v>2.19754888</v>
      </c>
      <c r="I71" s="18" t="s">
        <v>349</v>
      </c>
      <c r="J71" s="20" t="s">
        <v>349</v>
      </c>
      <c r="K71" s="18" t="n">
        <v>0.74411271</v>
      </c>
      <c r="L71" s="20" t="n">
        <v>0.43265562</v>
      </c>
      <c r="M71" s="18" t="n">
        <v>0</v>
      </c>
      <c r="N71" s="20" t="n">
        <v>0</v>
      </c>
      <c r="O71" s="18" t="n">
        <v>0</v>
      </c>
      <c r="P71" s="20" t="n">
        <v>0</v>
      </c>
      <c r="Q71" s="18" t="n">
        <v>15.30026359</v>
      </c>
      <c r="R71" s="20" t="n">
        <v>1.78072625</v>
      </c>
    </row>
    <row r="72" spans="1:18">
      <c r="A72" s="15" t="s">
        <v>414</v>
      </c>
      <c r="B72" s="17" t="n">
        <v>3889</v>
      </c>
      <c r="C72" s="18">
        <f>(3403.0/B72*100)</f>
        <v/>
      </c>
      <c r="D72" s="19" t="n">
        <v>486</v>
      </c>
      <c r="E72" s="18" t="n">
        <v>53.93222416</v>
      </c>
      <c r="F72" s="20" t="n">
        <v>2.70820749</v>
      </c>
      <c r="G72" s="18" t="n">
        <v>32.99767923</v>
      </c>
      <c r="H72" s="20" t="n">
        <v>2.90124199</v>
      </c>
      <c r="I72" s="18" t="s">
        <v>349</v>
      </c>
      <c r="J72" s="20" t="s">
        <v>349</v>
      </c>
      <c r="K72" s="18" t="n">
        <v>0.27750715</v>
      </c>
      <c r="L72" s="20" t="n">
        <v>0.27761389</v>
      </c>
      <c r="M72" s="18" t="n">
        <v>0</v>
      </c>
      <c r="N72" s="20" t="n">
        <v>0</v>
      </c>
      <c r="O72" s="18" t="n">
        <v>0</v>
      </c>
      <c r="P72" s="20" t="n">
        <v>0</v>
      </c>
      <c r="Q72" s="18" t="n">
        <v>12.79258946</v>
      </c>
      <c r="R72" s="20" t="n">
        <v>1.72277749</v>
      </c>
    </row>
    <row r="73" spans="1:18">
      <c r="A73" s="15" t="s">
        <v>415</v>
      </c>
      <c r="B73" s="17" t="n">
        <v>3597</v>
      </c>
      <c r="C73" s="18">
        <f>(3157.0/B73*100)</f>
        <v/>
      </c>
      <c r="D73" s="19" t="n">
        <v>440</v>
      </c>
      <c r="E73" s="18" t="n">
        <v>85.45643982</v>
      </c>
      <c r="F73" s="20" t="n">
        <v>1.86291477</v>
      </c>
      <c r="G73" s="18" t="n">
        <v>3.6172519</v>
      </c>
      <c r="H73" s="20" t="n">
        <v>0.89694354</v>
      </c>
      <c r="I73" s="18" t="s">
        <v>349</v>
      </c>
      <c r="J73" s="20" t="s">
        <v>349</v>
      </c>
      <c r="K73" s="18" t="n">
        <v>0</v>
      </c>
      <c r="L73" s="20" t="n">
        <v>0</v>
      </c>
      <c r="M73" s="18" t="n">
        <v>0</v>
      </c>
      <c r="N73" s="20" t="n">
        <v>0</v>
      </c>
      <c r="O73" s="18" t="n">
        <v>0</v>
      </c>
      <c r="P73" s="20" t="n">
        <v>0</v>
      </c>
      <c r="Q73" s="18" t="n">
        <v>10.92630828</v>
      </c>
      <c r="R73" s="20" t="n">
        <v>1.74159875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(2131.0/B75*100)</f>
        <v/>
      </c>
      <c r="D75" s="19" t="n">
        <v>275</v>
      </c>
      <c r="E75" s="18" t="n">
        <v>65.17263139000001</v>
      </c>
      <c r="F75" s="20" t="n">
        <v>3.11959033</v>
      </c>
      <c r="G75" s="18" t="n">
        <v>0.34337701</v>
      </c>
      <c r="H75" s="20" t="n">
        <v>0.3669995</v>
      </c>
      <c r="I75" s="18" t="s">
        <v>349</v>
      </c>
      <c r="J75" s="20" t="s">
        <v>349</v>
      </c>
      <c r="K75" s="18" t="n">
        <v>0.89356525</v>
      </c>
      <c r="L75" s="20" t="n">
        <v>0.48924834</v>
      </c>
      <c r="M75" s="18" t="n">
        <v>0.3767591</v>
      </c>
      <c r="N75" s="20" t="n">
        <v>0.36498936</v>
      </c>
      <c r="O75" s="18" t="n">
        <v>0</v>
      </c>
      <c r="P75" s="20" t="n">
        <v>0</v>
      </c>
      <c r="Q75" s="18" t="n">
        <v>33.21366724</v>
      </c>
      <c r="R75" s="20" t="n">
        <v>3.0481837</v>
      </c>
    </row>
    <row r="76" spans="1:18">
      <c r="A76" s="15" t="s">
        <v>418</v>
      </c>
      <c r="B76" s="17" t="n">
        <v>7052</v>
      </c>
      <c r="C76" s="18">
        <f>(6209.0/B76*100)</f>
        <v/>
      </c>
      <c r="D76" s="19" t="n">
        <v>843</v>
      </c>
      <c r="E76" s="18" t="n">
        <v>72.97088066000001</v>
      </c>
      <c r="F76" s="20" t="n">
        <v>1.81848057</v>
      </c>
      <c r="G76" s="18" t="n">
        <v>5.63946494</v>
      </c>
      <c r="H76" s="20" t="n">
        <v>0.91022653</v>
      </c>
      <c r="I76" s="18" t="s">
        <v>349</v>
      </c>
      <c r="J76" s="20" t="s">
        <v>349</v>
      </c>
      <c r="K76" s="18" t="n">
        <v>1.480639</v>
      </c>
      <c r="L76" s="20" t="n">
        <v>0.42950203</v>
      </c>
      <c r="M76" s="18" t="n">
        <v>0.33360723</v>
      </c>
      <c r="N76" s="20" t="n">
        <v>0.15386468</v>
      </c>
      <c r="O76" s="18" t="n">
        <v>0</v>
      </c>
      <c r="P76" s="20" t="n">
        <v>0</v>
      </c>
      <c r="Q76" s="18" t="n">
        <v>19.57540816</v>
      </c>
      <c r="R76" s="20" t="n">
        <v>1.43890295</v>
      </c>
    </row>
    <row r="77" spans="1:18">
      <c r="A77" s="15" t="s">
        <v>419</v>
      </c>
      <c r="B77" s="17" t="n">
        <v>2908</v>
      </c>
      <c r="C77" s="18">
        <f>(2538.0/B77*100)</f>
        <v/>
      </c>
      <c r="D77" s="19" t="n">
        <v>370</v>
      </c>
      <c r="E77" s="18" t="n">
        <v>47.92369526</v>
      </c>
      <c r="F77" s="20" t="n">
        <v>2.46858085</v>
      </c>
      <c r="G77" s="18" t="n">
        <v>1.83891225</v>
      </c>
      <c r="H77" s="20" t="n">
        <v>0.53664416</v>
      </c>
      <c r="I77" s="18" t="s">
        <v>349</v>
      </c>
      <c r="J77" s="20" t="s">
        <v>349</v>
      </c>
      <c r="K77" s="18" t="n">
        <v>0.7096549</v>
      </c>
      <c r="L77" s="20" t="n">
        <v>0.5893005</v>
      </c>
      <c r="M77" s="18" t="n">
        <v>6.47536487</v>
      </c>
      <c r="N77" s="20" t="n">
        <v>1.32895416</v>
      </c>
      <c r="O77" s="18" t="n">
        <v>0</v>
      </c>
      <c r="P77" s="20" t="n">
        <v>0</v>
      </c>
      <c r="Q77" s="18" t="n">
        <v>43.05237272</v>
      </c>
      <c r="R77" s="20" t="n">
        <v>2.37404713</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78.46570382</v>
      </c>
      <c r="F81" s="20" t="n">
        <v>2.40672212</v>
      </c>
      <c r="G81" s="18" t="n">
        <v>9.965137950000001</v>
      </c>
      <c r="H81" s="20" t="n">
        <v>1.64554274</v>
      </c>
      <c r="I81" s="18" t="s">
        <v>349</v>
      </c>
      <c r="J81" s="20" t="s">
        <v>349</v>
      </c>
      <c r="K81" s="18" t="n">
        <v>0.6105331000000001</v>
      </c>
      <c r="L81" s="20" t="n">
        <v>0.77113604</v>
      </c>
      <c r="M81" s="18" t="n">
        <v>0</v>
      </c>
      <c r="N81" s="20" t="n">
        <v>0</v>
      </c>
      <c r="O81" s="18" t="n">
        <v>0</v>
      </c>
      <c r="P81" s="20" t="n">
        <v>0</v>
      </c>
      <c r="Q81" s="18" t="n">
        <v>10.95862512</v>
      </c>
      <c r="R81" s="20" t="n">
        <v>1.72365822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(6489.0/B7*100)</f>
        <v/>
      </c>
      <c r="D7" s="19" t="n">
        <v>878</v>
      </c>
      <c r="E7" s="18" t="n">
        <v>61.22769024</v>
      </c>
      <c r="F7" s="20" t="n">
        <v>1.79115073</v>
      </c>
      <c r="G7" s="18" t="n">
        <v>36.94019286</v>
      </c>
      <c r="H7" s="20" t="n">
        <v>1.80383383</v>
      </c>
      <c r="I7" s="18" t="s">
        <v>349</v>
      </c>
      <c r="J7" s="20" t="s">
        <v>349</v>
      </c>
      <c r="K7" s="18" t="n">
        <v>0.71886046</v>
      </c>
      <c r="L7" s="20" t="n">
        <v>0.28811262</v>
      </c>
      <c r="M7" s="18" t="n">
        <v>0</v>
      </c>
      <c r="N7" s="20" t="n">
        <v>0</v>
      </c>
      <c r="O7" s="18" t="n">
        <v>0</v>
      </c>
      <c r="P7" s="20" t="n">
        <v>0</v>
      </c>
      <c r="Q7" s="18" t="n">
        <v>1.11325643</v>
      </c>
      <c r="R7" s="20" t="n">
        <v>0.37677491</v>
      </c>
    </row>
    <row r="8" spans="1:18">
      <c r="A8" s="15" t="s">
        <v>350</v>
      </c>
      <c r="B8" s="17" t="n">
        <v>3564</v>
      </c>
      <c r="C8" s="18">
        <f>(3126.0/B8*100)</f>
        <v/>
      </c>
      <c r="D8" s="19" t="n">
        <v>438</v>
      </c>
      <c r="E8" s="18" t="n">
        <v>52.61269328</v>
      </c>
      <c r="F8" s="20" t="n">
        <v>2.54502224</v>
      </c>
      <c r="G8" s="18" t="n">
        <v>45.22661973</v>
      </c>
      <c r="H8" s="20" t="n">
        <v>2.54671647</v>
      </c>
      <c r="I8" s="18" t="s">
        <v>349</v>
      </c>
      <c r="J8" s="20" t="s">
        <v>349</v>
      </c>
      <c r="K8" s="18" t="n">
        <v>0.84498184</v>
      </c>
      <c r="L8" s="20" t="n">
        <v>0.47787286</v>
      </c>
      <c r="M8" s="18" t="n">
        <v>0</v>
      </c>
      <c r="N8" s="20" t="n">
        <v>0</v>
      </c>
      <c r="O8" s="18" t="n">
        <v>0</v>
      </c>
      <c r="P8" s="20" t="n">
        <v>0</v>
      </c>
      <c r="Q8" s="18" t="n">
        <v>1.31570514</v>
      </c>
      <c r="R8" s="20" t="n">
        <v>0.65876594</v>
      </c>
    </row>
    <row r="9" spans="1:18">
      <c r="A9" s="15" t="s">
        <v>351</v>
      </c>
      <c r="B9" s="17" t="n">
        <v>4899</v>
      </c>
      <c r="C9" s="18">
        <f>(4308.0/B9*100)</f>
        <v/>
      </c>
      <c r="D9" s="19" t="n">
        <v>591</v>
      </c>
      <c r="E9" s="18" t="n">
        <v>59.5439462</v>
      </c>
      <c r="F9" s="20" t="n">
        <v>1.93400856</v>
      </c>
      <c r="G9" s="18" t="n">
        <v>38.55963411</v>
      </c>
      <c r="H9" s="20" t="n">
        <v>1.80845825</v>
      </c>
      <c r="I9" s="18" t="s">
        <v>349</v>
      </c>
      <c r="J9" s="20" t="s">
        <v>349</v>
      </c>
      <c r="K9" s="18" t="n">
        <v>0.77979619</v>
      </c>
      <c r="L9" s="20" t="n">
        <v>0.48685245</v>
      </c>
      <c r="M9" s="18" t="n">
        <v>0</v>
      </c>
      <c r="N9" s="20" t="n">
        <v>0</v>
      </c>
      <c r="O9" s="18" t="n">
        <v>0</v>
      </c>
      <c r="P9" s="20" t="n">
        <v>0</v>
      </c>
      <c r="Q9" s="18" t="n">
        <v>1.1166235</v>
      </c>
      <c r="R9" s="20" t="n">
        <v>0.42458041</v>
      </c>
    </row>
    <row r="10" spans="1:18">
      <c r="A10" s="15" t="s">
        <v>352</v>
      </c>
      <c r="B10" s="17" t="n">
        <v>10036</v>
      </c>
      <c r="C10" s="18">
        <f>(8800.0/B10*100)</f>
        <v/>
      </c>
      <c r="D10" s="19" t="n">
        <v>1236</v>
      </c>
      <c r="E10" s="18" t="n">
        <v>56.72075834</v>
      </c>
      <c r="F10" s="20" t="n">
        <v>1.76862406</v>
      </c>
      <c r="G10" s="18" t="n">
        <v>42.10027891</v>
      </c>
      <c r="H10" s="20" t="n">
        <v>1.76031265</v>
      </c>
      <c r="I10" s="18" t="s">
        <v>349</v>
      </c>
      <c r="J10" s="20" t="s">
        <v>349</v>
      </c>
      <c r="K10" s="18" t="n">
        <v>0.75363993</v>
      </c>
      <c r="L10" s="20" t="n">
        <v>0.30062985</v>
      </c>
      <c r="M10" s="18" t="n">
        <v>0</v>
      </c>
      <c r="N10" s="20" t="n">
        <v>0</v>
      </c>
      <c r="O10" s="18" t="n">
        <v>0</v>
      </c>
      <c r="P10" s="20" t="n">
        <v>0</v>
      </c>
      <c r="Q10" s="18" t="n">
        <v>0.42532282</v>
      </c>
      <c r="R10" s="20" t="n">
        <v>0.22459697</v>
      </c>
    </row>
    <row r="11" spans="1:18">
      <c r="A11" s="15" t="s">
        <v>353</v>
      </c>
      <c r="B11" s="17" t="n">
        <v>3553</v>
      </c>
      <c r="C11" s="18">
        <f>(3132.0/B11*100)</f>
        <v/>
      </c>
      <c r="D11" s="19" t="n">
        <v>421</v>
      </c>
      <c r="E11" s="18" t="n">
        <v>69.70538254</v>
      </c>
      <c r="F11" s="20" t="n">
        <v>2.13602313</v>
      </c>
      <c r="G11" s="18" t="n">
        <v>27.22147043</v>
      </c>
      <c r="H11" s="20" t="n">
        <v>2.22558787</v>
      </c>
      <c r="I11" s="18" t="s">
        <v>349</v>
      </c>
      <c r="J11" s="20" t="s">
        <v>349</v>
      </c>
      <c r="K11" s="18" t="n">
        <v>0.53417328</v>
      </c>
      <c r="L11" s="20" t="n">
        <v>0.30492624</v>
      </c>
      <c r="M11" s="18" t="n">
        <v>0</v>
      </c>
      <c r="N11" s="20" t="n">
        <v>0</v>
      </c>
      <c r="O11" s="18" t="n">
        <v>0</v>
      </c>
      <c r="P11" s="20" t="n">
        <v>0</v>
      </c>
      <c r="Q11" s="18" t="n">
        <v>2.53897375</v>
      </c>
      <c r="R11" s="20" t="n">
        <v>0.9909884</v>
      </c>
    </row>
    <row r="12" spans="1:18">
      <c r="A12" s="15" t="s">
        <v>354</v>
      </c>
      <c r="B12" s="17" t="n">
        <v>3472</v>
      </c>
      <c r="C12" s="18">
        <f>(3073.0/B12*100)</f>
        <v/>
      </c>
      <c r="D12" s="19" t="n">
        <v>399</v>
      </c>
      <c r="E12" s="18" t="n">
        <v>62.26873968</v>
      </c>
      <c r="F12" s="20" t="n">
        <v>2.94700478</v>
      </c>
      <c r="G12" s="18" t="n">
        <v>36.38367678</v>
      </c>
      <c r="H12" s="20" t="n">
        <v>2.97825553</v>
      </c>
      <c r="I12" s="18" t="s">
        <v>349</v>
      </c>
      <c r="J12" s="20" t="s">
        <v>349</v>
      </c>
      <c r="K12" s="18" t="n">
        <v>0.12336008</v>
      </c>
      <c r="L12" s="20" t="n">
        <v>0.1244678</v>
      </c>
      <c r="M12" s="18" t="n">
        <v>0</v>
      </c>
      <c r="N12" s="20" t="n">
        <v>0</v>
      </c>
      <c r="O12" s="18" t="n">
        <v>0</v>
      </c>
      <c r="P12" s="20" t="n">
        <v>0</v>
      </c>
      <c r="Q12" s="18" t="n">
        <v>1.22422346</v>
      </c>
      <c r="R12" s="20" t="n">
        <v>0.48863413</v>
      </c>
    </row>
    <row r="13" spans="1:18">
      <c r="A13" s="15" t="s">
        <v>355</v>
      </c>
      <c r="B13" s="17" t="n">
        <v>3559</v>
      </c>
      <c r="C13" s="18">
        <f>(3162.0/B13*100)</f>
        <v/>
      </c>
      <c r="D13" s="19" t="n">
        <v>397</v>
      </c>
      <c r="E13" s="18" t="n">
        <v>63.01079995</v>
      </c>
      <c r="F13" s="20" t="n">
        <v>3.04867385</v>
      </c>
      <c r="G13" s="18" t="n">
        <v>35.22211528</v>
      </c>
      <c r="H13" s="20" t="n">
        <v>2.87477072</v>
      </c>
      <c r="I13" s="18" t="s">
        <v>349</v>
      </c>
      <c r="J13" s="20" t="s">
        <v>349</v>
      </c>
      <c r="K13" s="18" t="n">
        <v>1.10322563</v>
      </c>
      <c r="L13" s="20" t="n">
        <v>0.63382676</v>
      </c>
      <c r="M13" s="18" t="n">
        <v>0</v>
      </c>
      <c r="N13" s="20" t="n">
        <v>0</v>
      </c>
      <c r="O13" s="18" t="n">
        <v>0</v>
      </c>
      <c r="P13" s="20" t="n">
        <v>0</v>
      </c>
      <c r="Q13" s="18" t="n">
        <v>0.66385914</v>
      </c>
      <c r="R13" s="20" t="n">
        <v>0.27830121</v>
      </c>
    </row>
    <row r="14" spans="1:18">
      <c r="A14" s="15" t="s">
        <v>356</v>
      </c>
      <c r="B14" s="17" t="n">
        <v>2799</v>
      </c>
      <c r="C14" s="18">
        <f>(2454.0/B14*100)</f>
        <v/>
      </c>
      <c r="D14" s="19" t="n">
        <v>345</v>
      </c>
      <c r="E14" s="18" t="n">
        <v>56.46530704</v>
      </c>
      <c r="F14" s="20" t="n">
        <v>2.56869011</v>
      </c>
      <c r="G14" s="18" t="n">
        <v>42.38382663</v>
      </c>
      <c r="H14" s="20" t="n">
        <v>2.55416</v>
      </c>
      <c r="I14" s="18" t="s">
        <v>349</v>
      </c>
      <c r="J14" s="20" t="s">
        <v>349</v>
      </c>
      <c r="K14" s="18" t="n">
        <v>0.23222254</v>
      </c>
      <c r="L14" s="20" t="n">
        <v>0.23295552</v>
      </c>
      <c r="M14" s="18" t="n">
        <v>0</v>
      </c>
      <c r="N14" s="20" t="n">
        <v>0</v>
      </c>
      <c r="O14" s="18" t="n">
        <v>0</v>
      </c>
      <c r="P14" s="20" t="n">
        <v>0</v>
      </c>
      <c r="Q14" s="18" t="n">
        <v>0.91864379</v>
      </c>
      <c r="R14" s="20" t="n">
        <v>0.57501736</v>
      </c>
    </row>
    <row r="15" spans="1:18">
      <c r="A15" s="15" t="s">
        <v>357</v>
      </c>
      <c r="B15" s="17" t="n">
        <v>3019</v>
      </c>
      <c r="C15" s="18">
        <f>(2648.0/B15*100)</f>
        <v/>
      </c>
      <c r="D15" s="19" t="n">
        <v>371</v>
      </c>
      <c r="E15" s="18" t="n">
        <v>61.60801488</v>
      </c>
      <c r="F15" s="20" t="n">
        <v>2.78088763</v>
      </c>
      <c r="G15" s="18" t="n">
        <v>36.18901015</v>
      </c>
      <c r="H15" s="20" t="n">
        <v>3.02012066</v>
      </c>
      <c r="I15" s="18" t="s">
        <v>349</v>
      </c>
      <c r="J15" s="20" t="s">
        <v>349</v>
      </c>
      <c r="K15" s="18" t="n">
        <v>0</v>
      </c>
      <c r="L15" s="20" t="n">
        <v>0</v>
      </c>
      <c r="M15" s="18" t="n">
        <v>0</v>
      </c>
      <c r="N15" s="20" t="n">
        <v>0</v>
      </c>
      <c r="O15" s="18" t="n">
        <v>0</v>
      </c>
      <c r="P15" s="20" t="n">
        <v>0</v>
      </c>
      <c r="Q15" s="18" t="n">
        <v>2.20297497</v>
      </c>
      <c r="R15" s="20" t="n">
        <v>0.96107201</v>
      </c>
    </row>
    <row r="16" spans="1:18">
      <c r="A16" s="15" t="s">
        <v>358</v>
      </c>
      <c r="B16" s="17" t="n">
        <v>2997</v>
      </c>
      <c r="C16" s="18">
        <f>(2620.0/B16*100)</f>
        <v/>
      </c>
      <c r="D16" s="19" t="n">
        <v>377</v>
      </c>
      <c r="E16" s="18" t="n">
        <v>52.86494528</v>
      </c>
      <c r="F16" s="20" t="n">
        <v>2.87910276</v>
      </c>
      <c r="G16" s="18" t="n">
        <v>43.60360278</v>
      </c>
      <c r="H16" s="20" t="n">
        <v>2.77647479</v>
      </c>
      <c r="I16" s="18" t="s">
        <v>349</v>
      </c>
      <c r="J16" s="20" t="s">
        <v>349</v>
      </c>
      <c r="K16" s="18" t="n">
        <v>1.03965992</v>
      </c>
      <c r="L16" s="20" t="n">
        <v>0.49806875</v>
      </c>
      <c r="M16" s="18" t="n">
        <v>0</v>
      </c>
      <c r="N16" s="20" t="n">
        <v>0</v>
      </c>
      <c r="O16" s="18" t="n">
        <v>0</v>
      </c>
      <c r="P16" s="20" t="n">
        <v>0</v>
      </c>
      <c r="Q16" s="18" t="n">
        <v>2.49179202</v>
      </c>
      <c r="R16" s="20" t="n">
        <v>0.7115397</v>
      </c>
    </row>
    <row r="17" spans="1:18">
      <c r="A17" s="15" t="s">
        <v>359</v>
      </c>
      <c r="B17" s="17" t="n">
        <v>3307</v>
      </c>
      <c r="C17" s="18">
        <f>(2920.0/B17*100)</f>
        <v/>
      </c>
      <c r="D17" s="19" t="n">
        <v>387</v>
      </c>
      <c r="E17" s="18" t="n">
        <v>53.47047711</v>
      </c>
      <c r="F17" s="20" t="n">
        <v>2.49176475</v>
      </c>
      <c r="G17" s="18" t="n">
        <v>44.88051357</v>
      </c>
      <c r="H17" s="20" t="n">
        <v>2.55729972</v>
      </c>
      <c r="I17" s="18" t="s">
        <v>349</v>
      </c>
      <c r="J17" s="20" t="s">
        <v>349</v>
      </c>
      <c r="K17" s="18" t="n">
        <v>0.3694202</v>
      </c>
      <c r="L17" s="20" t="n">
        <v>0.31759732</v>
      </c>
      <c r="M17" s="18" t="n">
        <v>0</v>
      </c>
      <c r="N17" s="20" t="n">
        <v>0</v>
      </c>
      <c r="O17" s="18" t="n">
        <v>0</v>
      </c>
      <c r="P17" s="20" t="n">
        <v>0</v>
      </c>
      <c r="Q17" s="18" t="n">
        <v>1.27958913</v>
      </c>
      <c r="R17" s="20" t="n">
        <v>0.60810241</v>
      </c>
    </row>
    <row r="18" spans="1:18">
      <c r="A18" s="15" t="s">
        <v>360</v>
      </c>
      <c r="B18" s="17" t="n">
        <v>2826</v>
      </c>
      <c r="C18" s="18">
        <f>(2500.0/B18*100)</f>
        <v/>
      </c>
      <c r="D18" s="19" t="n">
        <v>326</v>
      </c>
      <c r="E18" s="18" t="n">
        <v>73.86499804</v>
      </c>
      <c r="F18" s="20" t="n">
        <v>2.75226545</v>
      </c>
      <c r="G18" s="18" t="n">
        <v>24.1452509</v>
      </c>
      <c r="H18" s="20" t="n">
        <v>2.67544348</v>
      </c>
      <c r="I18" s="18" t="s">
        <v>349</v>
      </c>
      <c r="J18" s="20" t="s">
        <v>349</v>
      </c>
      <c r="K18" s="18" t="n">
        <v>0.32585429</v>
      </c>
      <c r="L18" s="20" t="n">
        <v>0.33431914</v>
      </c>
      <c r="M18" s="18" t="n">
        <v>0</v>
      </c>
      <c r="N18" s="20" t="n">
        <v>0</v>
      </c>
      <c r="O18" s="18" t="n">
        <v>0</v>
      </c>
      <c r="P18" s="20" t="n">
        <v>0</v>
      </c>
      <c r="Q18" s="18" t="n">
        <v>1.66389677</v>
      </c>
      <c r="R18" s="20" t="n">
        <v>0.82607323</v>
      </c>
    </row>
    <row r="19" spans="1:18">
      <c r="A19" s="15" t="s">
        <v>361</v>
      </c>
      <c r="B19" s="17" t="n">
        <v>2808</v>
      </c>
      <c r="C19" s="18">
        <f>(2465.0/B19*100)</f>
        <v/>
      </c>
      <c r="D19" s="19" t="n">
        <v>343</v>
      </c>
      <c r="E19" s="18" t="n">
        <v>60.56701527</v>
      </c>
      <c r="F19" s="20" t="n">
        <v>2.6999865</v>
      </c>
      <c r="G19" s="18" t="n">
        <v>38.10472892</v>
      </c>
      <c r="H19" s="20" t="n">
        <v>2.73162113</v>
      </c>
      <c r="I19" s="18" t="s">
        <v>349</v>
      </c>
      <c r="J19" s="20" t="s">
        <v>349</v>
      </c>
      <c r="K19" s="18" t="n">
        <v>0</v>
      </c>
      <c r="L19" s="20" t="n">
        <v>0</v>
      </c>
      <c r="M19" s="18" t="n">
        <v>0</v>
      </c>
      <c r="N19" s="20" t="n">
        <v>0</v>
      </c>
      <c r="O19" s="18" t="n">
        <v>0</v>
      </c>
      <c r="P19" s="20" t="n">
        <v>0</v>
      </c>
      <c r="Q19" s="18" t="n">
        <v>1.32825581</v>
      </c>
      <c r="R19" s="20" t="n">
        <v>0.81947313</v>
      </c>
    </row>
    <row r="20" spans="1:18">
      <c r="A20" s="15" t="s">
        <v>362</v>
      </c>
      <c r="B20" s="17" t="n">
        <v>1630</v>
      </c>
      <c r="C20" s="18">
        <f>(1430.0/B20*100)</f>
        <v/>
      </c>
      <c r="D20" s="19" t="n">
        <v>200</v>
      </c>
      <c r="E20" s="18" t="n">
        <v>59.00122085</v>
      </c>
      <c r="F20" s="20" t="n">
        <v>3.89880428</v>
      </c>
      <c r="G20" s="18" t="n">
        <v>39.44119409</v>
      </c>
      <c r="H20" s="20" t="n">
        <v>3.73940378</v>
      </c>
      <c r="I20" s="18" t="s">
        <v>349</v>
      </c>
      <c r="J20" s="20" t="s">
        <v>349</v>
      </c>
      <c r="K20" s="18" t="n">
        <v>0.47022099</v>
      </c>
      <c r="L20" s="20" t="n">
        <v>0.47054523</v>
      </c>
      <c r="M20" s="18" t="n">
        <v>0</v>
      </c>
      <c r="N20" s="20" t="n">
        <v>0</v>
      </c>
      <c r="O20" s="18" t="n">
        <v>0</v>
      </c>
      <c r="P20" s="20" t="n">
        <v>0</v>
      </c>
      <c r="Q20" s="18" t="n">
        <v>1.08736408</v>
      </c>
      <c r="R20" s="20" t="n">
        <v>0.76029319</v>
      </c>
    </row>
    <row r="21" spans="1:18">
      <c r="A21" s="15" t="s">
        <v>363</v>
      </c>
      <c r="B21" s="17" t="n">
        <v>2908</v>
      </c>
      <c r="C21" s="18">
        <f>(2437.0/B21*100)</f>
        <v/>
      </c>
      <c r="D21" s="19" t="n">
        <v>471</v>
      </c>
      <c r="E21" s="18" t="n">
        <v>59.27523825</v>
      </c>
      <c r="F21" s="20" t="n">
        <v>2.4018121</v>
      </c>
      <c r="G21" s="18" t="n">
        <v>40.03726968</v>
      </c>
      <c r="H21" s="20" t="n">
        <v>2.36873974</v>
      </c>
      <c r="I21" s="18" t="s">
        <v>349</v>
      </c>
      <c r="J21" s="20" t="s">
        <v>349</v>
      </c>
      <c r="K21" s="18" t="n">
        <v>0</v>
      </c>
      <c r="L21" s="20" t="n">
        <v>0</v>
      </c>
      <c r="M21" s="18" t="n">
        <v>0</v>
      </c>
      <c r="N21" s="20" t="n">
        <v>0</v>
      </c>
      <c r="O21" s="18" t="n">
        <v>0</v>
      </c>
      <c r="P21" s="20" t="n">
        <v>0</v>
      </c>
      <c r="Q21" s="18" t="n">
        <v>0.68749207</v>
      </c>
      <c r="R21" s="20" t="n">
        <v>0.58719118</v>
      </c>
    </row>
    <row r="22" spans="1:18">
      <c r="A22" s="15" t="s">
        <v>364</v>
      </c>
      <c r="B22" s="17" t="n">
        <v>2931</v>
      </c>
      <c r="C22" s="18">
        <f>(2555.0/B22*100)</f>
        <v/>
      </c>
      <c r="D22" s="19" t="n">
        <v>376</v>
      </c>
      <c r="E22" s="18" t="n">
        <v>58.69553583</v>
      </c>
      <c r="F22" s="20" t="n">
        <v>2.28067436</v>
      </c>
      <c r="G22" s="18" t="n">
        <v>38.65779656</v>
      </c>
      <c r="H22" s="20" t="n">
        <v>2.28366047</v>
      </c>
      <c r="I22" s="18" t="s">
        <v>349</v>
      </c>
      <c r="J22" s="20" t="s">
        <v>349</v>
      </c>
      <c r="K22" s="18" t="n">
        <v>0.60547066</v>
      </c>
      <c r="L22" s="20" t="n">
        <v>0.47299002</v>
      </c>
      <c r="M22" s="18" t="n">
        <v>0</v>
      </c>
      <c r="N22" s="20" t="n">
        <v>0</v>
      </c>
      <c r="O22" s="18" t="n">
        <v>0</v>
      </c>
      <c r="P22" s="20" t="n">
        <v>0</v>
      </c>
      <c r="Q22" s="18" t="n">
        <v>2.04119695</v>
      </c>
      <c r="R22" s="20" t="n">
        <v>0.70499778</v>
      </c>
    </row>
    <row r="23" spans="1:18">
      <c r="A23" s="15" t="s">
        <v>365</v>
      </c>
      <c r="B23" s="17" t="n">
        <v>5791</v>
      </c>
      <c r="C23" s="18">
        <f>(5096.0/B23*100)</f>
        <v/>
      </c>
      <c r="D23" s="19" t="n">
        <v>695</v>
      </c>
      <c r="E23" s="18" t="n">
        <v>48.37315309</v>
      </c>
      <c r="F23" s="20" t="n">
        <v>2.18562056</v>
      </c>
      <c r="G23" s="18" t="n">
        <v>49.50859305</v>
      </c>
      <c r="H23" s="20" t="n">
        <v>2.04133304</v>
      </c>
      <c r="I23" s="18" t="s">
        <v>349</v>
      </c>
      <c r="J23" s="20" t="s">
        <v>349</v>
      </c>
      <c r="K23" s="18" t="n">
        <v>0.35796369</v>
      </c>
      <c r="L23" s="20" t="n">
        <v>0.3493694</v>
      </c>
      <c r="M23" s="18" t="n">
        <v>0</v>
      </c>
      <c r="N23" s="20" t="n">
        <v>0</v>
      </c>
      <c r="O23" s="18" t="n">
        <v>0</v>
      </c>
      <c r="P23" s="20" t="n">
        <v>0</v>
      </c>
      <c r="Q23" s="18" t="n">
        <v>1.76029018</v>
      </c>
      <c r="R23" s="20" t="n">
        <v>0.83768962</v>
      </c>
    </row>
    <row r="24" spans="1:18">
      <c r="A24" s="15" t="s">
        <v>366</v>
      </c>
      <c r="B24" s="17" t="n">
        <v>3338</v>
      </c>
      <c r="C24" s="18">
        <f>(2913.0/B24*100)</f>
        <v/>
      </c>
      <c r="D24" s="19" t="n">
        <v>425</v>
      </c>
      <c r="E24" s="18" t="n">
        <v>53.62791749</v>
      </c>
      <c r="F24" s="20" t="n">
        <v>2.76656211</v>
      </c>
      <c r="G24" s="18" t="n">
        <v>44.7978748</v>
      </c>
      <c r="H24" s="20" t="n">
        <v>2.74722826</v>
      </c>
      <c r="I24" s="18" t="s">
        <v>349</v>
      </c>
      <c r="J24" s="20" t="s">
        <v>349</v>
      </c>
      <c r="K24" s="18" t="n">
        <v>0.2169745</v>
      </c>
      <c r="L24" s="20" t="n">
        <v>0.2188013</v>
      </c>
      <c r="M24" s="18" t="n">
        <v>0</v>
      </c>
      <c r="N24" s="20" t="n">
        <v>0</v>
      </c>
      <c r="O24" s="18" t="n">
        <v>0</v>
      </c>
      <c r="P24" s="20" t="n">
        <v>0</v>
      </c>
      <c r="Q24" s="18" t="n">
        <v>1.3572332</v>
      </c>
      <c r="R24" s="20" t="n">
        <v>0.56930605</v>
      </c>
    </row>
    <row r="25" spans="1:18">
      <c r="A25" s="15" t="s">
        <v>367</v>
      </c>
      <c r="B25" s="17" t="n">
        <v>2912</v>
      </c>
      <c r="C25" s="18">
        <f>(2564.0/B25*100)</f>
        <v/>
      </c>
      <c r="D25" s="19" t="n">
        <v>348</v>
      </c>
      <c r="E25" s="18" t="n">
        <v>63.90944412</v>
      </c>
      <c r="F25" s="20" t="n">
        <v>2.80565424</v>
      </c>
      <c r="G25" s="18" t="n">
        <v>35.78022493</v>
      </c>
      <c r="H25" s="20" t="n">
        <v>2.78634158</v>
      </c>
      <c r="I25" s="18" t="s">
        <v>349</v>
      </c>
      <c r="J25" s="20" t="s">
        <v>349</v>
      </c>
      <c r="K25" s="18" t="n">
        <v>0</v>
      </c>
      <c r="L25" s="20" t="n">
        <v>0</v>
      </c>
      <c r="M25" s="18" t="n">
        <v>0</v>
      </c>
      <c r="N25" s="20" t="n">
        <v>0</v>
      </c>
      <c r="O25" s="18" t="n">
        <v>0</v>
      </c>
      <c r="P25" s="20" t="n">
        <v>0</v>
      </c>
      <c r="Q25" s="18" t="n">
        <v>0.31033095</v>
      </c>
      <c r="R25" s="20" t="n">
        <v>0.31047557</v>
      </c>
    </row>
    <row r="26" spans="1:18">
      <c r="A26" s="15" t="s">
        <v>368</v>
      </c>
      <c r="B26" s="17" t="n">
        <v>2450</v>
      </c>
      <c r="C26" s="18">
        <f>(2162.0/B26*100)</f>
        <v/>
      </c>
      <c r="D26" s="19" t="n">
        <v>288</v>
      </c>
      <c r="E26" s="18" t="n">
        <v>64.10722782000001</v>
      </c>
      <c r="F26" s="20" t="n">
        <v>2.94717055</v>
      </c>
      <c r="G26" s="18" t="n">
        <v>35.65961722</v>
      </c>
      <c r="H26" s="20" t="n">
        <v>2.94574516</v>
      </c>
      <c r="I26" s="18" t="s">
        <v>349</v>
      </c>
      <c r="J26" s="20" t="s">
        <v>349</v>
      </c>
      <c r="K26" s="18" t="n">
        <v>0</v>
      </c>
      <c r="L26" s="20" t="n">
        <v>0</v>
      </c>
      <c r="M26" s="18" t="n">
        <v>0</v>
      </c>
      <c r="N26" s="20" t="n">
        <v>0</v>
      </c>
      <c r="O26" s="18" t="n">
        <v>0</v>
      </c>
      <c r="P26" s="20" t="n">
        <v>0</v>
      </c>
      <c r="Q26" s="18" t="n">
        <v>0.23315496</v>
      </c>
      <c r="R26" s="20" t="n">
        <v>0.23309863</v>
      </c>
    </row>
    <row r="27" spans="1:18">
      <c r="A27" s="15" t="s">
        <v>369</v>
      </c>
      <c r="B27" s="17" t="n">
        <v>2616</v>
      </c>
      <c r="C27" s="18">
        <f>(2291.0/B27*100)</f>
        <v/>
      </c>
      <c r="D27" s="19" t="n">
        <v>325</v>
      </c>
      <c r="E27" s="18" t="n">
        <v>56.68990776</v>
      </c>
      <c r="F27" s="20" t="n">
        <v>2.7454864</v>
      </c>
      <c r="G27" s="18" t="n">
        <v>41.47242908</v>
      </c>
      <c r="H27" s="20" t="n">
        <v>2.74062935</v>
      </c>
      <c r="I27" s="18" t="s">
        <v>349</v>
      </c>
      <c r="J27" s="20" t="s">
        <v>349</v>
      </c>
      <c r="K27" s="18" t="n">
        <v>0.6316308</v>
      </c>
      <c r="L27" s="20" t="n">
        <v>0.45158719</v>
      </c>
      <c r="M27" s="18" t="n">
        <v>0</v>
      </c>
      <c r="N27" s="20" t="n">
        <v>0</v>
      </c>
      <c r="O27" s="18" t="n">
        <v>0</v>
      </c>
      <c r="P27" s="20" t="n">
        <v>0</v>
      </c>
      <c r="Q27" s="18" t="n">
        <v>1.20603237</v>
      </c>
      <c r="R27" s="20" t="n">
        <v>0.5974226</v>
      </c>
    </row>
    <row r="28" spans="1:18">
      <c r="A28" s="15" t="s">
        <v>370</v>
      </c>
      <c r="B28" s="17" t="n">
        <v>3765</v>
      </c>
      <c r="C28" s="18">
        <f>(3364.0/B28*100)</f>
        <v/>
      </c>
      <c r="D28" s="19" t="n">
        <v>401</v>
      </c>
      <c r="E28" s="18" t="n">
        <v>77.45400793</v>
      </c>
      <c r="F28" s="20" t="n">
        <v>2.27408705</v>
      </c>
      <c r="G28" s="18" t="n">
        <v>21.77488184</v>
      </c>
      <c r="H28" s="20" t="n">
        <v>2.26324626</v>
      </c>
      <c r="I28" s="18" t="s">
        <v>349</v>
      </c>
      <c r="J28" s="20" t="s">
        <v>349</v>
      </c>
      <c r="K28" s="18" t="n">
        <v>0.77111022</v>
      </c>
      <c r="L28" s="20" t="n">
        <v>0.56479623</v>
      </c>
      <c r="M28" s="18" t="n">
        <v>0</v>
      </c>
      <c r="N28" s="20" t="n">
        <v>0</v>
      </c>
      <c r="O28" s="18" t="n">
        <v>0</v>
      </c>
      <c r="P28" s="20" t="n">
        <v>0</v>
      </c>
      <c r="Q28" s="18" t="n">
        <v>0</v>
      </c>
      <c r="R28" s="20" t="n">
        <v>0</v>
      </c>
    </row>
    <row r="29" spans="1:18">
      <c r="A29" s="15" t="s">
        <v>371</v>
      </c>
      <c r="B29" s="17" t="n">
        <v>2685</v>
      </c>
      <c r="C29" s="18">
        <f>(2388.0/B29*100)</f>
        <v/>
      </c>
      <c r="D29" s="19" t="n">
        <v>297</v>
      </c>
      <c r="E29" s="18" t="n">
        <v>69.36816725</v>
      </c>
      <c r="F29" s="20" t="n">
        <v>2.89148554</v>
      </c>
      <c r="G29" s="18" t="n">
        <v>29.47888952</v>
      </c>
      <c r="H29" s="20" t="n">
        <v>2.87777201</v>
      </c>
      <c r="I29" s="18" t="s">
        <v>349</v>
      </c>
      <c r="J29" s="20" t="s">
        <v>349</v>
      </c>
      <c r="K29" s="18" t="n">
        <v>0.34441581</v>
      </c>
      <c r="L29" s="20" t="n">
        <v>0.34410205</v>
      </c>
      <c r="M29" s="18" t="n">
        <v>0</v>
      </c>
      <c r="N29" s="20" t="n">
        <v>0</v>
      </c>
      <c r="O29" s="18" t="n">
        <v>0</v>
      </c>
      <c r="P29" s="20" t="n">
        <v>0</v>
      </c>
      <c r="Q29" s="18" t="n">
        <v>0.80852742</v>
      </c>
      <c r="R29" s="20" t="n">
        <v>0.5572404</v>
      </c>
    </row>
    <row r="30" spans="1:18">
      <c r="A30" s="15" t="s">
        <v>372</v>
      </c>
      <c r="B30" s="17" t="n">
        <v>2263</v>
      </c>
      <c r="C30" s="18">
        <f>(1991.0/B30*100)</f>
        <v/>
      </c>
      <c r="D30" s="19" t="n">
        <v>272</v>
      </c>
      <c r="E30" s="18" t="n">
        <v>57.81102266</v>
      </c>
      <c r="F30" s="20" t="n">
        <v>2.82034039</v>
      </c>
      <c r="G30" s="18" t="n">
        <v>39.78089993</v>
      </c>
      <c r="H30" s="20" t="n">
        <v>2.69489131</v>
      </c>
      <c r="I30" s="18" t="s">
        <v>349</v>
      </c>
      <c r="J30" s="20" t="s">
        <v>349</v>
      </c>
      <c r="K30" s="18" t="n">
        <v>0.3455711</v>
      </c>
      <c r="L30" s="20" t="n">
        <v>0.50724812</v>
      </c>
      <c r="M30" s="18" t="n">
        <v>0</v>
      </c>
      <c r="N30" s="20" t="n">
        <v>0</v>
      </c>
      <c r="O30" s="18" t="n">
        <v>0</v>
      </c>
      <c r="P30" s="20" t="n">
        <v>0</v>
      </c>
      <c r="Q30" s="18" t="n">
        <v>2.06250632</v>
      </c>
      <c r="R30" s="20" t="n">
        <v>0.8555377</v>
      </c>
    </row>
    <row r="31" spans="1:18">
      <c r="A31" s="15" t="s">
        <v>373</v>
      </c>
      <c r="B31" s="17" t="n">
        <v>2750</v>
      </c>
      <c r="C31" s="18">
        <f>(2412.0/B31*100)</f>
        <v/>
      </c>
      <c r="D31" s="19" t="n">
        <v>338</v>
      </c>
      <c r="E31" s="18" t="n">
        <v>73.70309949</v>
      </c>
      <c r="F31" s="20" t="n">
        <v>2.27511578</v>
      </c>
      <c r="G31" s="18" t="n">
        <v>22.41021605</v>
      </c>
      <c r="H31" s="20" t="n">
        <v>2.17294739</v>
      </c>
      <c r="I31" s="18" t="s">
        <v>349</v>
      </c>
      <c r="J31" s="20" t="s">
        <v>349</v>
      </c>
      <c r="K31" s="18" t="n">
        <v>1.18736376</v>
      </c>
      <c r="L31" s="20" t="n">
        <v>0.57346919</v>
      </c>
      <c r="M31" s="18" t="n">
        <v>0</v>
      </c>
      <c r="N31" s="20" t="n">
        <v>0</v>
      </c>
      <c r="O31" s="18" t="n">
        <v>0</v>
      </c>
      <c r="P31" s="20" t="n">
        <v>0</v>
      </c>
      <c r="Q31" s="18" t="n">
        <v>2.69932069</v>
      </c>
      <c r="R31" s="20" t="n">
        <v>0.91124671</v>
      </c>
    </row>
    <row r="32" spans="1:18">
      <c r="A32" s="15" t="s">
        <v>374</v>
      </c>
      <c r="B32" s="17" t="n">
        <v>2269</v>
      </c>
      <c r="C32" s="18">
        <f>(1871.0/B32*100)</f>
        <v/>
      </c>
      <c r="D32" s="19" t="n">
        <v>398</v>
      </c>
      <c r="E32" s="18" t="n">
        <v>69.23788037999999</v>
      </c>
      <c r="F32" s="20" t="n">
        <v>2.14744665</v>
      </c>
      <c r="G32" s="18" t="n">
        <v>30.00790166</v>
      </c>
      <c r="H32" s="20" t="n">
        <v>2.12866179</v>
      </c>
      <c r="I32" s="18" t="s">
        <v>349</v>
      </c>
      <c r="J32" s="20" t="s">
        <v>349</v>
      </c>
      <c r="K32" s="18" t="n">
        <v>0</v>
      </c>
      <c r="L32" s="20" t="n">
        <v>0</v>
      </c>
      <c r="M32" s="18" t="n">
        <v>0</v>
      </c>
      <c r="N32" s="20" t="n">
        <v>0</v>
      </c>
      <c r="O32" s="18" t="n">
        <v>0</v>
      </c>
      <c r="P32" s="20" t="n">
        <v>0</v>
      </c>
      <c r="Q32" s="18" t="n">
        <v>0.75421795</v>
      </c>
      <c r="R32" s="20" t="n">
        <v>0.44958842</v>
      </c>
    </row>
    <row r="33" spans="1:18">
      <c r="A33" s="15" t="s">
        <v>375</v>
      </c>
      <c r="B33" s="17" t="n">
        <v>3674</v>
      </c>
      <c r="C33" s="18">
        <f>(3240.0/B33*100)</f>
        <v/>
      </c>
      <c r="D33" s="19" t="n">
        <v>434</v>
      </c>
      <c r="E33" s="18" t="n">
        <v>59.65264437</v>
      </c>
      <c r="F33" s="20" t="n">
        <v>2.81072447</v>
      </c>
      <c r="G33" s="18" t="n">
        <v>39.7027002</v>
      </c>
      <c r="H33" s="20" t="n">
        <v>2.84216641</v>
      </c>
      <c r="I33" s="18" t="s">
        <v>349</v>
      </c>
      <c r="J33" s="20" t="s">
        <v>349</v>
      </c>
      <c r="K33" s="18" t="n">
        <v>0.43081839</v>
      </c>
      <c r="L33" s="20" t="n">
        <v>0.44062697</v>
      </c>
      <c r="M33" s="18" t="n">
        <v>0</v>
      </c>
      <c r="N33" s="20" t="n">
        <v>0</v>
      </c>
      <c r="O33" s="18" t="n">
        <v>0</v>
      </c>
      <c r="P33" s="20" t="n">
        <v>0</v>
      </c>
      <c r="Q33" s="18" t="n">
        <v>0.21383703</v>
      </c>
      <c r="R33" s="20" t="n">
        <v>0.11625753</v>
      </c>
    </row>
    <row r="34" spans="1:18">
      <c r="A34" s="15" t="s">
        <v>376</v>
      </c>
      <c r="B34" s="17" t="n">
        <v>3315</v>
      </c>
      <c r="C34" s="18">
        <f>(2904.0/B34*100)</f>
        <v/>
      </c>
      <c r="D34" s="19" t="n">
        <v>411</v>
      </c>
      <c r="E34" s="18" t="n">
        <v>69.36712985</v>
      </c>
      <c r="F34" s="20" t="n">
        <v>2.71295841</v>
      </c>
      <c r="G34" s="18" t="n">
        <v>29.99503168</v>
      </c>
      <c r="H34" s="20" t="n">
        <v>2.69347352</v>
      </c>
      <c r="I34" s="18" t="s">
        <v>349</v>
      </c>
      <c r="J34" s="20" t="s">
        <v>349</v>
      </c>
      <c r="K34" s="18" t="n">
        <v>0.25988709</v>
      </c>
      <c r="L34" s="20" t="n">
        <v>0.26587225</v>
      </c>
      <c r="M34" s="18" t="n">
        <v>0</v>
      </c>
      <c r="N34" s="20" t="n">
        <v>0</v>
      </c>
      <c r="O34" s="18" t="n">
        <v>0</v>
      </c>
      <c r="P34" s="20" t="n">
        <v>0</v>
      </c>
      <c r="Q34" s="18" t="n">
        <v>0.37795138</v>
      </c>
      <c r="R34" s="20" t="n">
        <v>0.26704014</v>
      </c>
    </row>
    <row r="35" spans="1:18">
      <c r="A35" s="15" t="s">
        <v>377</v>
      </c>
      <c r="B35" s="17" t="n">
        <v>3505</v>
      </c>
      <c r="C35" s="18">
        <f>(3061.0/B35*100)</f>
        <v/>
      </c>
      <c r="D35" s="19" t="n">
        <v>444</v>
      </c>
      <c r="E35" s="18" t="n">
        <v>51.77452774</v>
      </c>
      <c r="F35" s="20" t="n">
        <v>2.79503754</v>
      </c>
      <c r="G35" s="18" t="n">
        <v>46.63893043</v>
      </c>
      <c r="H35" s="20" t="n">
        <v>2.72106705</v>
      </c>
      <c r="I35" s="18" t="s">
        <v>349</v>
      </c>
      <c r="J35" s="20" t="s">
        <v>349</v>
      </c>
      <c r="K35" s="18" t="n">
        <v>0.21989663</v>
      </c>
      <c r="L35" s="20" t="n">
        <v>0.15842578</v>
      </c>
      <c r="M35" s="18" t="n">
        <v>0</v>
      </c>
      <c r="N35" s="20" t="n">
        <v>0</v>
      </c>
      <c r="O35" s="18" t="n">
        <v>0</v>
      </c>
      <c r="P35" s="20" t="n">
        <v>0</v>
      </c>
      <c r="Q35" s="18" t="n">
        <v>1.3666452</v>
      </c>
      <c r="R35" s="20" t="n">
        <v>0.66544652</v>
      </c>
    </row>
    <row r="36" spans="1:18">
      <c r="A36" s="15" t="s">
        <v>378</v>
      </c>
      <c r="B36" s="17" t="n">
        <v>3332</v>
      </c>
      <c r="C36" s="18">
        <f>(2928.0/B36*100)</f>
        <v/>
      </c>
      <c r="D36" s="19" t="n">
        <v>404</v>
      </c>
      <c r="E36" s="18" t="n">
        <v>57.931912</v>
      </c>
      <c r="F36" s="20" t="n">
        <v>2.76953892</v>
      </c>
      <c r="G36" s="18" t="n">
        <v>39.10078117</v>
      </c>
      <c r="H36" s="20" t="n">
        <v>2.71829584</v>
      </c>
      <c r="I36" s="18" t="s">
        <v>349</v>
      </c>
      <c r="J36" s="20" t="s">
        <v>349</v>
      </c>
      <c r="K36" s="18" t="n">
        <v>1.02108739</v>
      </c>
      <c r="L36" s="20" t="n">
        <v>0.53953488</v>
      </c>
      <c r="M36" s="18" t="n">
        <v>0</v>
      </c>
      <c r="N36" s="20" t="n">
        <v>0</v>
      </c>
      <c r="O36" s="18" t="n">
        <v>0</v>
      </c>
      <c r="P36" s="20" t="n">
        <v>0</v>
      </c>
      <c r="Q36" s="18" t="n">
        <v>1.94621945</v>
      </c>
      <c r="R36" s="20" t="n">
        <v>0.63680392</v>
      </c>
    </row>
    <row r="37" spans="1:18">
      <c r="A37" s="15" t="s">
        <v>379</v>
      </c>
      <c r="B37" s="17" t="n">
        <v>2727</v>
      </c>
      <c r="C37" s="18">
        <f>(2409.0/B37*100)</f>
        <v/>
      </c>
      <c r="D37" s="19" t="n">
        <v>318</v>
      </c>
      <c r="E37" s="18" t="n">
        <v>61.64307608</v>
      </c>
      <c r="F37" s="20" t="n">
        <v>2.63971002</v>
      </c>
      <c r="G37" s="18" t="n">
        <v>32.93993674</v>
      </c>
      <c r="H37" s="20" t="n">
        <v>2.67405013</v>
      </c>
      <c r="I37" s="18" t="s">
        <v>349</v>
      </c>
      <c r="J37" s="20" t="s">
        <v>349</v>
      </c>
      <c r="K37" s="18" t="n">
        <v>1.72786703</v>
      </c>
      <c r="L37" s="20" t="n">
        <v>0.7932157</v>
      </c>
      <c r="M37" s="18" t="n">
        <v>0</v>
      </c>
      <c r="N37" s="20" t="n">
        <v>0</v>
      </c>
      <c r="O37" s="18" t="n">
        <v>0</v>
      </c>
      <c r="P37" s="20" t="n">
        <v>0</v>
      </c>
      <c r="Q37" s="18" t="n">
        <v>3.68912015</v>
      </c>
      <c r="R37" s="20" t="n">
        <v>1.37015718</v>
      </c>
    </row>
    <row r="38" spans="1:18">
      <c r="A38" s="15" t="s">
        <v>380</v>
      </c>
      <c r="B38" s="17" t="n">
        <v>3053</v>
      </c>
      <c r="C38" s="18">
        <f>(2590.0/B38*100)</f>
        <v/>
      </c>
      <c r="D38" s="19" t="n">
        <v>463</v>
      </c>
      <c r="E38" s="18" t="n">
        <v>53.26927169</v>
      </c>
      <c r="F38" s="20" t="n">
        <v>3.13643474</v>
      </c>
      <c r="G38" s="18" t="n">
        <v>45.43880332</v>
      </c>
      <c r="H38" s="20" t="n">
        <v>3.1786114</v>
      </c>
      <c r="I38" s="18" t="s">
        <v>349</v>
      </c>
      <c r="J38" s="20" t="s">
        <v>349</v>
      </c>
      <c r="K38" s="18" t="n">
        <v>0.88517576</v>
      </c>
      <c r="L38" s="20" t="n">
        <v>0.47500987</v>
      </c>
      <c r="M38" s="18" t="n">
        <v>0</v>
      </c>
      <c r="N38" s="20" t="n">
        <v>0</v>
      </c>
      <c r="O38" s="18" t="n">
        <v>0</v>
      </c>
      <c r="P38" s="20" t="n">
        <v>0</v>
      </c>
      <c r="Q38" s="18" t="n">
        <v>0.40674923</v>
      </c>
      <c r="R38" s="20" t="n">
        <v>0.28791728</v>
      </c>
    </row>
    <row r="39" spans="1:18">
      <c r="A39" s="15" t="s">
        <v>381</v>
      </c>
      <c r="B39" s="17" t="n">
        <v>2957</v>
      </c>
      <c r="C39" s="18">
        <f>(2593.0/B39*100)</f>
        <v/>
      </c>
      <c r="D39" s="19" t="n">
        <v>364</v>
      </c>
      <c r="E39" s="18" t="n">
        <v>72.04874280999999</v>
      </c>
      <c r="F39" s="20" t="n">
        <v>2.99926287</v>
      </c>
      <c r="G39" s="18" t="n">
        <v>26.33483671</v>
      </c>
      <c r="H39" s="20" t="n">
        <v>3.03081225</v>
      </c>
      <c r="I39" s="18" t="s">
        <v>349</v>
      </c>
      <c r="J39" s="20" t="s">
        <v>349</v>
      </c>
      <c r="K39" s="18" t="n">
        <v>0.6857607100000001</v>
      </c>
      <c r="L39" s="20" t="n">
        <v>0.41672458</v>
      </c>
      <c r="M39" s="18" t="n">
        <v>0</v>
      </c>
      <c r="N39" s="20" t="n">
        <v>0</v>
      </c>
      <c r="O39" s="18" t="n">
        <v>0</v>
      </c>
      <c r="P39" s="20" t="n">
        <v>0</v>
      </c>
      <c r="Q39" s="18" t="n">
        <v>0.93065978</v>
      </c>
      <c r="R39" s="20" t="n">
        <v>0.47918255</v>
      </c>
    </row>
    <row r="40" spans="1:18">
      <c r="A40" s="15" t="s">
        <v>382</v>
      </c>
      <c r="B40" s="17" t="n">
        <v>7235</v>
      </c>
      <c r="C40" s="18">
        <f>(6336.0/B40*100)</f>
        <v/>
      </c>
      <c r="D40" s="19" t="n">
        <v>899</v>
      </c>
      <c r="E40" s="18" t="n">
        <v>66.48320801</v>
      </c>
      <c r="F40" s="20" t="n">
        <v>2.31748399</v>
      </c>
      <c r="G40" s="18" t="n">
        <v>32.05570338</v>
      </c>
      <c r="H40" s="20" t="n">
        <v>2.24667082</v>
      </c>
      <c r="I40" s="18" t="s">
        <v>349</v>
      </c>
      <c r="J40" s="20" t="s">
        <v>349</v>
      </c>
      <c r="K40" s="18" t="n">
        <v>0.30390617</v>
      </c>
      <c r="L40" s="20" t="n">
        <v>0.19698664</v>
      </c>
      <c r="M40" s="18" t="n">
        <v>0</v>
      </c>
      <c r="N40" s="20" t="n">
        <v>0</v>
      </c>
      <c r="O40" s="18" t="n">
        <v>0</v>
      </c>
      <c r="P40" s="20" t="n">
        <v>0</v>
      </c>
      <c r="Q40" s="18" t="n">
        <v>1.15718244</v>
      </c>
      <c r="R40" s="20" t="n">
        <v>0.56964189</v>
      </c>
    </row>
    <row r="41" spans="1:18">
      <c r="A41" s="15" t="s">
        <v>383</v>
      </c>
      <c r="B41" s="17" t="n">
        <v>2858</v>
      </c>
      <c r="C41" s="18">
        <f>(2514.0/B41*100)</f>
        <v/>
      </c>
      <c r="D41" s="19" t="n">
        <v>344</v>
      </c>
      <c r="E41" s="18" t="n">
        <v>65.12181094</v>
      </c>
      <c r="F41" s="20" t="n">
        <v>3.01361313</v>
      </c>
      <c r="G41" s="18" t="n">
        <v>33.56472912</v>
      </c>
      <c r="H41" s="20" t="n">
        <v>2.98392541</v>
      </c>
      <c r="I41" s="18" t="s">
        <v>349</v>
      </c>
      <c r="J41" s="20" t="s">
        <v>349</v>
      </c>
      <c r="K41" s="18" t="n">
        <v>1.31345995</v>
      </c>
      <c r="L41" s="20" t="n">
        <v>0.91485277</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(9926.0/B46*100)</f>
        <v/>
      </c>
      <c r="D46" s="19" t="n">
        <v>1142</v>
      </c>
      <c r="E46" s="18" t="n">
        <v>73.2227062</v>
      </c>
      <c r="F46" s="20" t="n">
        <v>1.74862367</v>
      </c>
      <c r="G46" s="18" t="n">
        <v>23.59194885</v>
      </c>
      <c r="H46" s="20" t="n">
        <v>1.67711168</v>
      </c>
      <c r="I46" s="18" t="s">
        <v>349</v>
      </c>
      <c r="J46" s="20" t="s">
        <v>349</v>
      </c>
      <c r="K46" s="18" t="n">
        <v>1.1138649</v>
      </c>
      <c r="L46" s="20" t="n">
        <v>0.43250145</v>
      </c>
      <c r="M46" s="18" t="n">
        <v>0</v>
      </c>
      <c r="N46" s="20" t="n">
        <v>0</v>
      </c>
      <c r="O46" s="18" t="n">
        <v>0</v>
      </c>
      <c r="P46" s="20" t="n">
        <v>0</v>
      </c>
      <c r="Q46" s="18" t="n">
        <v>2.07148005</v>
      </c>
      <c r="R46" s="20" t="n">
        <v>0.67196293</v>
      </c>
    </row>
    <row r="47" spans="1:18">
      <c r="A47" s="15" t="s">
        <v>389</v>
      </c>
      <c r="B47" s="17" t="n">
        <v>3105</v>
      </c>
      <c r="C47" s="18">
        <f>(2727.0/B47*100)</f>
        <v/>
      </c>
      <c r="D47" s="19" t="n">
        <v>378</v>
      </c>
      <c r="E47" s="18" t="n">
        <v>79.5790238</v>
      </c>
      <c r="F47" s="20" t="n">
        <v>2.09561379</v>
      </c>
      <c r="G47" s="18" t="n">
        <v>17.53789039</v>
      </c>
      <c r="H47" s="20" t="n">
        <v>1.74845392</v>
      </c>
      <c r="I47" s="18" t="s">
        <v>349</v>
      </c>
      <c r="J47" s="20" t="s">
        <v>349</v>
      </c>
      <c r="K47" s="18" t="n">
        <v>0.24413645</v>
      </c>
      <c r="L47" s="20" t="n">
        <v>0.24610614</v>
      </c>
      <c r="M47" s="18" t="n">
        <v>0</v>
      </c>
      <c r="N47" s="20" t="n">
        <v>0</v>
      </c>
      <c r="O47" s="18" t="n">
        <v>0</v>
      </c>
      <c r="P47" s="20" t="n">
        <v>0</v>
      </c>
      <c r="Q47" s="18" t="n">
        <v>2.63894936</v>
      </c>
      <c r="R47" s="20" t="n">
        <v>0.85946405</v>
      </c>
    </row>
    <row r="48" spans="1:18">
      <c r="A48" s="15" t="s">
        <v>390</v>
      </c>
      <c r="B48" s="17" t="n">
        <v>5159</v>
      </c>
      <c r="C48" s="18">
        <f>(4532.0/B48*100)</f>
        <v/>
      </c>
      <c r="D48" s="19" t="n">
        <v>627</v>
      </c>
      <c r="E48" s="18" t="n">
        <v>55.73610918</v>
      </c>
      <c r="F48" s="20" t="n">
        <v>2.43714979</v>
      </c>
      <c r="G48" s="18" t="n">
        <v>43.46193557</v>
      </c>
      <c r="H48" s="20" t="n">
        <v>2.52934383</v>
      </c>
      <c r="I48" s="18" t="s">
        <v>349</v>
      </c>
      <c r="J48" s="20" t="s">
        <v>349</v>
      </c>
      <c r="K48" s="18" t="n">
        <v>0.51124422</v>
      </c>
      <c r="L48" s="20" t="n">
        <v>0.35213191</v>
      </c>
      <c r="M48" s="18" t="n">
        <v>0</v>
      </c>
      <c r="N48" s="20" t="n">
        <v>0</v>
      </c>
      <c r="O48" s="18" t="n">
        <v>0</v>
      </c>
      <c r="P48" s="20" t="n">
        <v>0</v>
      </c>
      <c r="Q48" s="18" t="n">
        <v>0.29071102</v>
      </c>
      <c r="R48" s="20" t="n">
        <v>0.28849815</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(4950.0/B50*100)</f>
        <v/>
      </c>
      <c r="D50" s="19" t="n">
        <v>687</v>
      </c>
      <c r="E50" s="18" t="n">
        <v>74.56054861</v>
      </c>
      <c r="F50" s="20" t="n">
        <v>1.85528032</v>
      </c>
      <c r="G50" s="18" t="n">
        <v>24.44239964</v>
      </c>
      <c r="H50" s="20" t="n">
        <v>1.87409825</v>
      </c>
      <c r="I50" s="18" t="s">
        <v>349</v>
      </c>
      <c r="J50" s="20" t="s">
        <v>349</v>
      </c>
      <c r="K50" s="18" t="n">
        <v>0.80034094</v>
      </c>
      <c r="L50" s="20" t="n">
        <v>0.42760156</v>
      </c>
      <c r="M50" s="18" t="n">
        <v>0</v>
      </c>
      <c r="N50" s="20" t="n">
        <v>0</v>
      </c>
      <c r="O50" s="18" t="n">
        <v>0</v>
      </c>
      <c r="P50" s="20" t="n">
        <v>0</v>
      </c>
      <c r="Q50" s="18" t="n">
        <v>0.19671081</v>
      </c>
      <c r="R50" s="20" t="n">
        <v>0.16803935</v>
      </c>
    </row>
    <row r="51" spans="1:18">
      <c r="A51" s="15" t="s">
        <v>393</v>
      </c>
      <c r="B51" s="17" t="n">
        <v>3372</v>
      </c>
      <c r="C51" s="18">
        <f>(3030.0/B51*100)</f>
        <v/>
      </c>
      <c r="D51" s="19" t="n">
        <v>342</v>
      </c>
      <c r="E51" s="18" t="n">
        <v>76.95220277999999</v>
      </c>
      <c r="F51" s="20" t="n">
        <v>2.25937111</v>
      </c>
      <c r="G51" s="18" t="n">
        <v>22.00006569</v>
      </c>
      <c r="H51" s="20" t="n">
        <v>2.19260232</v>
      </c>
      <c r="I51" s="18" t="s">
        <v>349</v>
      </c>
      <c r="J51" s="20" t="s">
        <v>349</v>
      </c>
      <c r="K51" s="18" t="n">
        <v>0</v>
      </c>
      <c r="L51" s="20" t="n">
        <v>0</v>
      </c>
      <c r="M51" s="18" t="n">
        <v>0</v>
      </c>
      <c r="N51" s="20" t="n">
        <v>0</v>
      </c>
      <c r="O51" s="18" t="n">
        <v>0</v>
      </c>
      <c r="P51" s="20" t="n">
        <v>0</v>
      </c>
      <c r="Q51" s="18" t="n">
        <v>1.04773153</v>
      </c>
      <c r="R51" s="20" t="n">
        <v>0.61971403</v>
      </c>
    </row>
    <row r="52" spans="1:18">
      <c r="A52" s="15" t="s">
        <v>394</v>
      </c>
      <c r="B52" s="17" t="n">
        <v>2796</v>
      </c>
      <c r="C52" s="18">
        <f>(2461.0/B52*100)</f>
        <v/>
      </c>
      <c r="D52" s="19" t="n">
        <v>335</v>
      </c>
      <c r="E52" s="18" t="n">
        <v>51.10984956</v>
      </c>
      <c r="F52" s="20" t="n">
        <v>2.6827286</v>
      </c>
      <c r="G52" s="18" t="n">
        <v>47.55500051</v>
      </c>
      <c r="H52" s="20" t="n">
        <v>2.72692172</v>
      </c>
      <c r="I52" s="18" t="s">
        <v>349</v>
      </c>
      <c r="J52" s="20" t="s">
        <v>349</v>
      </c>
      <c r="K52" s="18" t="n">
        <v>0</v>
      </c>
      <c r="L52" s="20" t="n">
        <v>0</v>
      </c>
      <c r="M52" s="18" t="n">
        <v>0</v>
      </c>
      <c r="N52" s="20" t="n">
        <v>0</v>
      </c>
      <c r="O52" s="18" t="n">
        <v>0</v>
      </c>
      <c r="P52" s="20" t="n">
        <v>0</v>
      </c>
      <c r="Q52" s="18" t="n">
        <v>1.33514993</v>
      </c>
      <c r="R52" s="20" t="n">
        <v>0.59564328</v>
      </c>
    </row>
    <row r="53" spans="1:18">
      <c r="A53" s="15" t="s">
        <v>395</v>
      </c>
      <c r="B53" s="17" t="n">
        <v>2811</v>
      </c>
      <c r="C53" s="18">
        <f>(2465.0/B53*100)</f>
        <v/>
      </c>
      <c r="D53" s="19" t="n">
        <v>346</v>
      </c>
      <c r="E53" s="18" t="n">
        <v>74.64080263</v>
      </c>
      <c r="F53" s="20" t="n">
        <v>2.35502563</v>
      </c>
      <c r="G53" s="18" t="n">
        <v>24.65965178</v>
      </c>
      <c r="H53" s="20" t="n">
        <v>2.34783921</v>
      </c>
      <c r="I53" s="18" t="s">
        <v>349</v>
      </c>
      <c r="J53" s="20" t="s">
        <v>349</v>
      </c>
      <c r="K53" s="18" t="n">
        <v>0.42795896</v>
      </c>
      <c r="L53" s="20" t="n">
        <v>0.29697331</v>
      </c>
      <c r="M53" s="18" t="n">
        <v>0</v>
      </c>
      <c r="N53" s="20" t="n">
        <v>0</v>
      </c>
      <c r="O53" s="18" t="n">
        <v>0</v>
      </c>
      <c r="P53" s="20" t="n">
        <v>0</v>
      </c>
      <c r="Q53" s="18" t="n">
        <v>0.27158663</v>
      </c>
      <c r="R53" s="20" t="n">
        <v>0.2703745</v>
      </c>
    </row>
    <row r="54" spans="1:18">
      <c r="A54" s="15" t="s">
        <v>396</v>
      </c>
      <c r="B54" s="17" t="n">
        <v>2266</v>
      </c>
      <c r="C54" s="18">
        <f>(1884.0/B54*100)</f>
        <v/>
      </c>
      <c r="D54" s="19" t="n">
        <v>382</v>
      </c>
      <c r="E54" s="18" t="n">
        <v>73.79198977999999</v>
      </c>
      <c r="F54" s="20" t="n">
        <v>2.53343245</v>
      </c>
      <c r="G54" s="18" t="n">
        <v>13.10672731</v>
      </c>
      <c r="H54" s="20" t="n">
        <v>1.58941467</v>
      </c>
      <c r="I54" s="18" t="s">
        <v>349</v>
      </c>
      <c r="J54" s="20" t="s">
        <v>349</v>
      </c>
      <c r="K54" s="18" t="n">
        <v>9.19905823</v>
      </c>
      <c r="L54" s="20" t="n">
        <v>1.67534726</v>
      </c>
      <c r="M54" s="18" t="n">
        <v>0</v>
      </c>
      <c r="N54" s="20" t="n">
        <v>0</v>
      </c>
      <c r="O54" s="18" t="n">
        <v>0</v>
      </c>
      <c r="P54" s="20" t="n">
        <v>0</v>
      </c>
      <c r="Q54" s="18" t="n">
        <v>3.90222468</v>
      </c>
      <c r="R54" s="20" t="n">
        <v>1.14511183</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(2369.0/B56*100)</f>
        <v/>
      </c>
      <c r="D56" s="19" t="n">
        <v>315</v>
      </c>
      <c r="E56" s="18" t="n">
        <v>60.81802623</v>
      </c>
      <c r="F56" s="20" t="n">
        <v>2.85431579</v>
      </c>
      <c r="G56" s="18" t="n">
        <v>39.18197377</v>
      </c>
      <c r="H56" s="20" t="n">
        <v>2.85431579</v>
      </c>
      <c r="I56" s="18" t="s">
        <v>349</v>
      </c>
      <c r="J56" s="20" t="s">
        <v>349</v>
      </c>
      <c r="K56" s="18" t="n">
        <v>0</v>
      </c>
      <c r="L56" s="20" t="n">
        <v>0</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(2930.0/B61*100)</f>
        <v/>
      </c>
      <c r="D61" s="19" t="n">
        <v>394</v>
      </c>
      <c r="E61" s="18" t="n">
        <v>66.95783742</v>
      </c>
      <c r="F61" s="20" t="n">
        <v>2.65607499</v>
      </c>
      <c r="G61" s="18" t="n">
        <v>30.85720463</v>
      </c>
      <c r="H61" s="20" t="n">
        <v>2.65696307</v>
      </c>
      <c r="I61" s="18" t="s">
        <v>349</v>
      </c>
      <c r="J61" s="20" t="s">
        <v>349</v>
      </c>
      <c r="K61" s="18" t="n">
        <v>0.54146345</v>
      </c>
      <c r="L61" s="20" t="n">
        <v>0.44346088</v>
      </c>
      <c r="M61" s="18" t="n">
        <v>0</v>
      </c>
      <c r="N61" s="20" t="n">
        <v>0</v>
      </c>
      <c r="O61" s="18" t="n">
        <v>0</v>
      </c>
      <c r="P61" s="20" t="n">
        <v>0</v>
      </c>
      <c r="Q61" s="18" t="n">
        <v>1.64349451</v>
      </c>
      <c r="R61" s="20" t="n">
        <v>0.71733388</v>
      </c>
    </row>
    <row r="62" spans="1:18">
      <c r="A62" s="15" t="s">
        <v>404</v>
      </c>
      <c r="B62" s="17" t="n">
        <v>2246</v>
      </c>
      <c r="C62" s="18">
        <f>(2003.0/B62*100)</f>
        <v/>
      </c>
      <c r="D62" s="19" t="n">
        <v>243</v>
      </c>
      <c r="E62" s="18" t="n">
        <v>59.17629643</v>
      </c>
      <c r="F62" s="20" t="n">
        <v>3.05066588</v>
      </c>
      <c r="G62" s="18" t="n">
        <v>40.82370357</v>
      </c>
      <c r="H62" s="20" t="n">
        <v>3.05066588</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(2547.0/B66*100)</f>
        <v/>
      </c>
      <c r="D66" s="19" t="n">
        <v>347</v>
      </c>
      <c r="E66" s="18" t="n">
        <v>70.24721468</v>
      </c>
      <c r="F66" s="20" t="n">
        <v>2.61032658</v>
      </c>
      <c r="G66" s="18" t="n">
        <v>23.6275105</v>
      </c>
      <c r="H66" s="20" t="n">
        <v>2.45305744</v>
      </c>
      <c r="I66" s="18" t="s">
        <v>349</v>
      </c>
      <c r="J66" s="20" t="s">
        <v>349</v>
      </c>
      <c r="K66" s="18" t="n">
        <v>0.56435574</v>
      </c>
      <c r="L66" s="20" t="n">
        <v>0.39870362</v>
      </c>
      <c r="M66" s="18" t="n">
        <v>0</v>
      </c>
      <c r="N66" s="20" t="n">
        <v>0</v>
      </c>
      <c r="O66" s="18" t="n">
        <v>0</v>
      </c>
      <c r="P66" s="20" t="n">
        <v>0</v>
      </c>
      <c r="Q66" s="18" t="n">
        <v>5.56091907</v>
      </c>
      <c r="R66" s="20" t="n">
        <v>1.21496383</v>
      </c>
    </row>
    <row r="67" spans="1:18">
      <c r="A67" s="15" t="s">
        <v>409</v>
      </c>
      <c r="B67" s="17" t="n">
        <v>3511</v>
      </c>
      <c r="C67" s="18">
        <f>(3124.0/B67*100)</f>
        <v/>
      </c>
      <c r="D67" s="19" t="n">
        <v>387</v>
      </c>
      <c r="E67" s="18" t="n">
        <v>80.19499311</v>
      </c>
      <c r="F67" s="20" t="n">
        <v>1.80409663</v>
      </c>
      <c r="G67" s="18" t="n">
        <v>19.58239474</v>
      </c>
      <c r="H67" s="20" t="n">
        <v>1.82182181</v>
      </c>
      <c r="I67" s="18" t="s">
        <v>349</v>
      </c>
      <c r="J67" s="20" t="s">
        <v>349</v>
      </c>
      <c r="K67" s="18" t="n">
        <v>0</v>
      </c>
      <c r="L67" s="20" t="n">
        <v>0</v>
      </c>
      <c r="M67" s="18" t="n">
        <v>0</v>
      </c>
      <c r="N67" s="20" t="n">
        <v>0</v>
      </c>
      <c r="O67" s="18" t="n">
        <v>0</v>
      </c>
      <c r="P67" s="20" t="n">
        <v>0</v>
      </c>
      <c r="Q67" s="18" t="n">
        <v>0.22261215</v>
      </c>
      <c r="R67" s="20" t="n">
        <v>0.22284924</v>
      </c>
    </row>
    <row r="68" spans="1:18">
      <c r="A68" s="15" t="s">
        <v>410</v>
      </c>
      <c r="B68" s="17" t="n">
        <v>6049</v>
      </c>
      <c r="C68" s="18">
        <f>(5065.0/B68*100)</f>
        <v/>
      </c>
      <c r="D68" s="19" t="n">
        <v>984</v>
      </c>
      <c r="E68" s="18" t="n">
        <v>71.50810349</v>
      </c>
      <c r="F68" s="20" t="n">
        <v>1.61411582</v>
      </c>
      <c r="G68" s="18" t="n">
        <v>24.00475103</v>
      </c>
      <c r="H68" s="20" t="n">
        <v>1.41449544</v>
      </c>
      <c r="I68" s="18" t="s">
        <v>349</v>
      </c>
      <c r="J68" s="20" t="s">
        <v>349</v>
      </c>
      <c r="K68" s="18" t="n">
        <v>2.50664272</v>
      </c>
      <c r="L68" s="20" t="n">
        <v>0.47656931</v>
      </c>
      <c r="M68" s="18" t="n">
        <v>0</v>
      </c>
      <c r="N68" s="20" t="n">
        <v>0</v>
      </c>
      <c r="O68" s="18" t="n">
        <v>0</v>
      </c>
      <c r="P68" s="20" t="n">
        <v>0</v>
      </c>
      <c r="Q68" s="18" t="n">
        <v>1.98050276</v>
      </c>
      <c r="R68" s="20" t="n">
        <v>0.47762785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(2606.0/B70*100)</f>
        <v/>
      </c>
      <c r="D70" s="19" t="n">
        <v>323</v>
      </c>
      <c r="E70" s="18" t="n">
        <v>73.36612192</v>
      </c>
      <c r="F70" s="20" t="n">
        <v>2.33431947</v>
      </c>
      <c r="G70" s="18" t="n">
        <v>25.81308741</v>
      </c>
      <c r="H70" s="20" t="n">
        <v>2.34904712</v>
      </c>
      <c r="I70" s="18" t="s">
        <v>349</v>
      </c>
      <c r="J70" s="20" t="s">
        <v>349</v>
      </c>
      <c r="K70" s="18" t="n">
        <v>0.16009305</v>
      </c>
      <c r="L70" s="20" t="n">
        <v>0.11430102</v>
      </c>
      <c r="M70" s="18" t="n">
        <v>0</v>
      </c>
      <c r="N70" s="20" t="n">
        <v>0</v>
      </c>
      <c r="O70" s="18" t="n">
        <v>0</v>
      </c>
      <c r="P70" s="20" t="n">
        <v>0</v>
      </c>
      <c r="Q70" s="18" t="n">
        <v>0.66069762</v>
      </c>
      <c r="R70" s="20" t="n">
        <v>0.42210592</v>
      </c>
    </row>
    <row r="71" spans="1:18">
      <c r="A71" s="15" t="s">
        <v>413</v>
      </c>
      <c r="B71" s="17" t="n">
        <v>3142</v>
      </c>
      <c r="C71" s="18">
        <f>(2749.0/B71*100)</f>
        <v/>
      </c>
      <c r="D71" s="19" t="n">
        <v>393</v>
      </c>
      <c r="E71" s="18" t="n">
        <v>51.82320854</v>
      </c>
      <c r="F71" s="20" t="n">
        <v>2.45783148</v>
      </c>
      <c r="G71" s="18" t="n">
        <v>46.91246914</v>
      </c>
      <c r="H71" s="20" t="n">
        <v>2.46856344</v>
      </c>
      <c r="I71" s="18" t="s">
        <v>349</v>
      </c>
      <c r="J71" s="20" t="s">
        <v>349</v>
      </c>
      <c r="K71" s="18" t="n">
        <v>0.74411271</v>
      </c>
      <c r="L71" s="20" t="n">
        <v>0.43265562</v>
      </c>
      <c r="M71" s="18" t="n">
        <v>0</v>
      </c>
      <c r="N71" s="20" t="n">
        <v>0</v>
      </c>
      <c r="O71" s="18" t="n">
        <v>0</v>
      </c>
      <c r="P71" s="20" t="n">
        <v>0</v>
      </c>
      <c r="Q71" s="18" t="n">
        <v>0.5202096</v>
      </c>
      <c r="R71" s="20" t="n">
        <v>0.36843483</v>
      </c>
    </row>
    <row r="72" spans="1:18">
      <c r="A72" s="15" t="s">
        <v>414</v>
      </c>
      <c r="B72" s="17" t="n">
        <v>3889</v>
      </c>
      <c r="C72" s="18">
        <f>(3403.0/B72*100)</f>
        <v/>
      </c>
      <c r="D72" s="19" t="n">
        <v>486</v>
      </c>
      <c r="E72" s="18" t="n">
        <v>61.79223108</v>
      </c>
      <c r="F72" s="20" t="n">
        <v>2.42323832</v>
      </c>
      <c r="G72" s="18" t="n">
        <v>37.76140761</v>
      </c>
      <c r="H72" s="20" t="n">
        <v>2.41789901</v>
      </c>
      <c r="I72" s="18" t="s">
        <v>349</v>
      </c>
      <c r="J72" s="20" t="s">
        <v>349</v>
      </c>
      <c r="K72" s="18" t="n">
        <v>0.27750715</v>
      </c>
      <c r="L72" s="20" t="n">
        <v>0.27761389</v>
      </c>
      <c r="M72" s="18" t="n">
        <v>0</v>
      </c>
      <c r="N72" s="20" t="n">
        <v>0</v>
      </c>
      <c r="O72" s="18" t="n">
        <v>0</v>
      </c>
      <c r="P72" s="20" t="n">
        <v>0</v>
      </c>
      <c r="Q72" s="18" t="n">
        <v>0.16885416</v>
      </c>
      <c r="R72" s="20" t="n">
        <v>0.16922954</v>
      </c>
    </row>
    <row r="73" spans="1:18">
      <c r="A73" s="15" t="s">
        <v>415</v>
      </c>
      <c r="B73" s="17" t="n">
        <v>3597</v>
      </c>
      <c r="C73" s="18">
        <f>(3159.0/B73*100)</f>
        <v/>
      </c>
      <c r="D73" s="19" t="n">
        <v>438</v>
      </c>
      <c r="E73" s="18" t="n">
        <v>86.89467612999999</v>
      </c>
      <c r="F73" s="20" t="n">
        <v>1.80304213</v>
      </c>
      <c r="G73" s="18" t="n">
        <v>13.08594216</v>
      </c>
      <c r="H73" s="20" t="n">
        <v>1.80332126</v>
      </c>
      <c r="I73" s="18" t="s">
        <v>349</v>
      </c>
      <c r="J73" s="20" t="s">
        <v>349</v>
      </c>
      <c r="K73" s="18" t="n">
        <v>0</v>
      </c>
      <c r="L73" s="20" t="n">
        <v>0</v>
      </c>
      <c r="M73" s="18" t="n">
        <v>0</v>
      </c>
      <c r="N73" s="20" t="n">
        <v>0</v>
      </c>
      <c r="O73" s="18" t="n">
        <v>0</v>
      </c>
      <c r="P73" s="20" t="n">
        <v>0</v>
      </c>
      <c r="Q73" s="18" t="n">
        <v>0.01938172</v>
      </c>
      <c r="R73" s="20" t="n">
        <v>0.01373654</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(2131.0/B75*100)</f>
        <v/>
      </c>
      <c r="D75" s="19" t="n">
        <v>275</v>
      </c>
      <c r="E75" s="18" t="n">
        <v>78.68973498</v>
      </c>
      <c r="F75" s="20" t="n">
        <v>2.70361799</v>
      </c>
      <c r="G75" s="18" t="n">
        <v>15.70592879</v>
      </c>
      <c r="H75" s="20" t="n">
        <v>2.23656984</v>
      </c>
      <c r="I75" s="18" t="s">
        <v>349</v>
      </c>
      <c r="J75" s="20" t="s">
        <v>349</v>
      </c>
      <c r="K75" s="18" t="n">
        <v>1.19339947</v>
      </c>
      <c r="L75" s="20" t="n">
        <v>0.58362344</v>
      </c>
      <c r="M75" s="18" t="n">
        <v>0</v>
      </c>
      <c r="N75" s="20" t="n">
        <v>0</v>
      </c>
      <c r="O75" s="18" t="n">
        <v>0</v>
      </c>
      <c r="P75" s="20" t="n">
        <v>0</v>
      </c>
      <c r="Q75" s="18" t="n">
        <v>4.41093676</v>
      </c>
      <c r="R75" s="20" t="n">
        <v>1.71168005</v>
      </c>
    </row>
    <row r="76" spans="1:18">
      <c r="A76" s="15" t="s">
        <v>418</v>
      </c>
      <c r="B76" s="17" t="n">
        <v>7052</v>
      </c>
      <c r="C76" s="18">
        <f>(6211.0/B76*100)</f>
        <v/>
      </c>
      <c r="D76" s="19" t="n">
        <v>841</v>
      </c>
      <c r="E76" s="18" t="n">
        <v>70.76360304000001</v>
      </c>
      <c r="F76" s="20" t="n">
        <v>1.89838566</v>
      </c>
      <c r="G76" s="18" t="n">
        <v>26.26173483</v>
      </c>
      <c r="H76" s="20" t="n">
        <v>1.82102008</v>
      </c>
      <c r="I76" s="18" t="s">
        <v>349</v>
      </c>
      <c r="J76" s="20" t="s">
        <v>349</v>
      </c>
      <c r="K76" s="18" t="n">
        <v>1.48451019</v>
      </c>
      <c r="L76" s="20" t="n">
        <v>0.43079348</v>
      </c>
      <c r="M76" s="18" t="n">
        <v>0</v>
      </c>
      <c r="N76" s="20" t="n">
        <v>0</v>
      </c>
      <c r="O76" s="18" t="n">
        <v>0</v>
      </c>
      <c r="P76" s="20" t="n">
        <v>0</v>
      </c>
      <c r="Q76" s="18" t="n">
        <v>1.49015194</v>
      </c>
      <c r="R76" s="20" t="n">
        <v>0.49055762</v>
      </c>
    </row>
    <row r="77" spans="1:18">
      <c r="A77" s="15" t="s">
        <v>419</v>
      </c>
      <c r="B77" s="17" t="n">
        <v>2908</v>
      </c>
      <c r="C77" s="18">
        <f>(2538.0/B77*100)</f>
        <v/>
      </c>
      <c r="D77" s="19" t="n">
        <v>370</v>
      </c>
      <c r="E77" s="18" t="n">
        <v>73.21221557</v>
      </c>
      <c r="F77" s="20" t="n">
        <v>2.68869425</v>
      </c>
      <c r="G77" s="18" t="n">
        <v>22.18229382</v>
      </c>
      <c r="H77" s="20" t="n">
        <v>2.38661747</v>
      </c>
      <c r="I77" s="18" t="s">
        <v>349</v>
      </c>
      <c r="J77" s="20" t="s">
        <v>349</v>
      </c>
      <c r="K77" s="18" t="n">
        <v>0.96752858</v>
      </c>
      <c r="L77" s="20" t="n">
        <v>0.64085517</v>
      </c>
      <c r="M77" s="18" t="n">
        <v>0</v>
      </c>
      <c r="N77" s="20" t="n">
        <v>0</v>
      </c>
      <c r="O77" s="18" t="n">
        <v>0</v>
      </c>
      <c r="P77" s="20" t="n">
        <v>0</v>
      </c>
      <c r="Q77" s="18" t="n">
        <v>3.63796203</v>
      </c>
      <c r="R77" s="20" t="n">
        <v>0.99168974</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(3654.0/B81*100)</f>
        <v/>
      </c>
      <c r="D81" s="19" t="n">
        <v>509</v>
      </c>
      <c r="E81" s="18" t="n">
        <v>80.68002844999999</v>
      </c>
      <c r="F81" s="20" t="n">
        <v>2.1842332</v>
      </c>
      <c r="G81" s="18" t="n">
        <v>18.70622392</v>
      </c>
      <c r="H81" s="20" t="n">
        <v>2.27699425</v>
      </c>
      <c r="I81" s="18" t="s">
        <v>349</v>
      </c>
      <c r="J81" s="20" t="s">
        <v>349</v>
      </c>
      <c r="K81" s="18" t="n">
        <v>0.61374763</v>
      </c>
      <c r="L81" s="20" t="n">
        <v>0.77510858</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(6492.0/B7*100)</f>
        <v/>
      </c>
      <c r="D7" s="19" t="n">
        <v>875</v>
      </c>
      <c r="E7" s="18" t="n">
        <v>51.17508762</v>
      </c>
      <c r="F7" s="20" t="n">
        <v>1.78794861</v>
      </c>
      <c r="G7" s="18" t="n">
        <v>45.65493311</v>
      </c>
      <c r="H7" s="20" t="n">
        <v>1.76917545</v>
      </c>
      <c r="I7" s="18" t="s">
        <v>349</v>
      </c>
      <c r="J7" s="20" t="s">
        <v>349</v>
      </c>
      <c r="K7" s="18" t="n">
        <v>0.72069247</v>
      </c>
      <c r="L7" s="20" t="n">
        <v>0.28885369</v>
      </c>
      <c r="M7" s="18" t="n">
        <v>0</v>
      </c>
      <c r="N7" s="20" t="n">
        <v>0</v>
      </c>
      <c r="O7" s="18" t="n">
        <v>0</v>
      </c>
      <c r="P7" s="20" t="n">
        <v>0</v>
      </c>
      <c r="Q7" s="18" t="n">
        <v>2.4492868</v>
      </c>
      <c r="R7" s="20" t="n">
        <v>0.60444805</v>
      </c>
    </row>
    <row r="8" spans="1:18">
      <c r="A8" s="15" t="s">
        <v>350</v>
      </c>
      <c r="B8" s="17" t="n">
        <v>3564</v>
      </c>
      <c r="C8" s="18">
        <f>(3127.0/B8*100)</f>
        <v/>
      </c>
      <c r="D8" s="19" t="n">
        <v>437</v>
      </c>
      <c r="E8" s="18" t="n">
        <v>41.92648657</v>
      </c>
      <c r="F8" s="20" t="n">
        <v>2.47234997</v>
      </c>
      <c r="G8" s="18" t="n">
        <v>53.46530845</v>
      </c>
      <c r="H8" s="20" t="n">
        <v>2.73876916</v>
      </c>
      <c r="I8" s="18" t="s">
        <v>349</v>
      </c>
      <c r="J8" s="20" t="s">
        <v>349</v>
      </c>
      <c r="K8" s="18" t="n">
        <v>1.09214561</v>
      </c>
      <c r="L8" s="20" t="n">
        <v>0.5905224100000001</v>
      </c>
      <c r="M8" s="18" t="n">
        <v>0</v>
      </c>
      <c r="N8" s="20" t="n">
        <v>0</v>
      </c>
      <c r="O8" s="18" t="n">
        <v>0</v>
      </c>
      <c r="P8" s="20" t="n">
        <v>0</v>
      </c>
      <c r="Q8" s="18" t="n">
        <v>3.51605937</v>
      </c>
      <c r="R8" s="20" t="n">
        <v>0.9121614300000001</v>
      </c>
    </row>
    <row r="9" spans="1:18">
      <c r="A9" s="15" t="s">
        <v>351</v>
      </c>
      <c r="B9" s="17" t="n">
        <v>4899</v>
      </c>
      <c r="C9" s="18">
        <f>(4310.0/B9*100)</f>
        <v/>
      </c>
      <c r="D9" s="19" t="n">
        <v>589</v>
      </c>
      <c r="E9" s="18" t="n">
        <v>43.41463907</v>
      </c>
      <c r="F9" s="20" t="n">
        <v>2.23181128</v>
      </c>
      <c r="G9" s="18" t="n">
        <v>52.07679289</v>
      </c>
      <c r="H9" s="20" t="n">
        <v>2.18407812</v>
      </c>
      <c r="I9" s="18" t="s">
        <v>349</v>
      </c>
      <c r="J9" s="20" t="s">
        <v>349</v>
      </c>
      <c r="K9" s="18" t="n">
        <v>0.94473745</v>
      </c>
      <c r="L9" s="20" t="n">
        <v>0.51685472</v>
      </c>
      <c r="M9" s="18" t="n">
        <v>0</v>
      </c>
      <c r="N9" s="20" t="n">
        <v>0</v>
      </c>
      <c r="O9" s="18" t="n">
        <v>0</v>
      </c>
      <c r="P9" s="20" t="n">
        <v>0</v>
      </c>
      <c r="Q9" s="18" t="n">
        <v>3.56383059</v>
      </c>
      <c r="R9" s="20" t="n">
        <v>0.8759427</v>
      </c>
    </row>
    <row r="10" spans="1:18">
      <c r="A10" s="15" t="s">
        <v>352</v>
      </c>
      <c r="B10" s="17" t="n">
        <v>10036</v>
      </c>
      <c r="C10" s="18">
        <f>(8801.0/B10*100)</f>
        <v/>
      </c>
      <c r="D10" s="19" t="n">
        <v>1235</v>
      </c>
      <c r="E10" s="18" t="n">
        <v>51.28340665</v>
      </c>
      <c r="F10" s="20" t="n">
        <v>1.99622172</v>
      </c>
      <c r="G10" s="18" t="n">
        <v>47.03462333</v>
      </c>
      <c r="H10" s="20" t="n">
        <v>1.98443162</v>
      </c>
      <c r="I10" s="18" t="s">
        <v>349</v>
      </c>
      <c r="J10" s="20" t="s">
        <v>349</v>
      </c>
      <c r="K10" s="18" t="n">
        <v>0.75300607</v>
      </c>
      <c r="L10" s="20" t="n">
        <v>0.30040911</v>
      </c>
      <c r="M10" s="18" t="n">
        <v>0</v>
      </c>
      <c r="N10" s="20" t="n">
        <v>0</v>
      </c>
      <c r="O10" s="18" t="n">
        <v>0</v>
      </c>
      <c r="P10" s="20" t="n">
        <v>0</v>
      </c>
      <c r="Q10" s="18" t="n">
        <v>0.92896395</v>
      </c>
      <c r="R10" s="20" t="n">
        <v>0.3749437</v>
      </c>
    </row>
    <row r="11" spans="1:18">
      <c r="A11" s="15" t="s">
        <v>353</v>
      </c>
      <c r="B11" s="17" t="n">
        <v>3553</v>
      </c>
      <c r="C11" s="18">
        <f>(3133.0/B11*100)</f>
        <v/>
      </c>
      <c r="D11" s="19" t="n">
        <v>420</v>
      </c>
      <c r="E11" s="18" t="n">
        <v>63.65233507</v>
      </c>
      <c r="F11" s="20" t="n">
        <v>2.98726899</v>
      </c>
      <c r="G11" s="18" t="n">
        <v>32.71045356</v>
      </c>
      <c r="H11" s="20" t="n">
        <v>3.01490934</v>
      </c>
      <c r="I11" s="18" t="s">
        <v>349</v>
      </c>
      <c r="J11" s="20" t="s">
        <v>349</v>
      </c>
      <c r="K11" s="18" t="n">
        <v>1.02865949</v>
      </c>
      <c r="L11" s="20" t="n">
        <v>0.46243502</v>
      </c>
      <c r="M11" s="18" t="n">
        <v>0</v>
      </c>
      <c r="N11" s="20" t="n">
        <v>0</v>
      </c>
      <c r="O11" s="18" t="n">
        <v>0</v>
      </c>
      <c r="P11" s="20" t="n">
        <v>0</v>
      </c>
      <c r="Q11" s="18" t="n">
        <v>2.60855188</v>
      </c>
      <c r="R11" s="20" t="n">
        <v>0.88730426</v>
      </c>
    </row>
    <row r="12" spans="1:18">
      <c r="A12" s="15" t="s">
        <v>354</v>
      </c>
      <c r="B12" s="17" t="n">
        <v>3472</v>
      </c>
      <c r="C12" s="18">
        <f>(3074.0/B12*100)</f>
        <v/>
      </c>
      <c r="D12" s="19" t="n">
        <v>398</v>
      </c>
      <c r="E12" s="18" t="n">
        <v>47.44301767</v>
      </c>
      <c r="F12" s="20" t="n">
        <v>2.89029286</v>
      </c>
      <c r="G12" s="18" t="n">
        <v>48.0781547</v>
      </c>
      <c r="H12" s="20" t="n">
        <v>2.91535186</v>
      </c>
      <c r="I12" s="18" t="s">
        <v>349</v>
      </c>
      <c r="J12" s="20" t="s">
        <v>349</v>
      </c>
      <c r="K12" s="18" t="n">
        <v>0.12359084</v>
      </c>
      <c r="L12" s="20" t="n">
        <v>0.12470253</v>
      </c>
      <c r="M12" s="18" t="n">
        <v>0</v>
      </c>
      <c r="N12" s="20" t="n">
        <v>0</v>
      </c>
      <c r="O12" s="18" t="n">
        <v>0</v>
      </c>
      <c r="P12" s="20" t="n">
        <v>0</v>
      </c>
      <c r="Q12" s="18" t="n">
        <v>4.35523679</v>
      </c>
      <c r="R12" s="20" t="n">
        <v>1.29410813</v>
      </c>
    </row>
    <row r="13" spans="1:18">
      <c r="A13" s="15" t="s">
        <v>355</v>
      </c>
      <c r="B13" s="17" t="n">
        <v>3559</v>
      </c>
      <c r="C13" s="18">
        <f>(3163.0/B13*100)</f>
        <v/>
      </c>
      <c r="D13" s="19" t="n">
        <v>396</v>
      </c>
      <c r="E13" s="18" t="n">
        <v>45.60198971</v>
      </c>
      <c r="F13" s="20" t="n">
        <v>2.6333668</v>
      </c>
      <c r="G13" s="18" t="n">
        <v>51.7244323</v>
      </c>
      <c r="H13" s="20" t="n">
        <v>2.70860749</v>
      </c>
      <c r="I13" s="18" t="s">
        <v>349</v>
      </c>
      <c r="J13" s="20" t="s">
        <v>349</v>
      </c>
      <c r="K13" s="18" t="n">
        <v>1.10544457</v>
      </c>
      <c r="L13" s="20" t="n">
        <v>0.63518588</v>
      </c>
      <c r="M13" s="18" t="n">
        <v>0</v>
      </c>
      <c r="N13" s="20" t="n">
        <v>0</v>
      </c>
      <c r="O13" s="18" t="n">
        <v>0</v>
      </c>
      <c r="P13" s="20" t="n">
        <v>0</v>
      </c>
      <c r="Q13" s="18" t="n">
        <v>1.56813343</v>
      </c>
      <c r="R13" s="20" t="n">
        <v>0.60681869</v>
      </c>
    </row>
    <row r="14" spans="1:18">
      <c r="A14" s="15" t="s">
        <v>356</v>
      </c>
      <c r="B14" s="17" t="n">
        <v>2799</v>
      </c>
      <c r="C14" s="18">
        <f>(2454.0/B14*100)</f>
        <v/>
      </c>
      <c r="D14" s="19" t="n">
        <v>345</v>
      </c>
      <c r="E14" s="18" t="n">
        <v>45.41258152</v>
      </c>
      <c r="F14" s="20" t="n">
        <v>3.27171577</v>
      </c>
      <c r="G14" s="18" t="n">
        <v>53.20991177</v>
      </c>
      <c r="H14" s="20" t="n">
        <v>3.09665825</v>
      </c>
      <c r="I14" s="18" t="s">
        <v>349</v>
      </c>
      <c r="J14" s="20" t="s">
        <v>349</v>
      </c>
      <c r="K14" s="18" t="n">
        <v>0.23222254</v>
      </c>
      <c r="L14" s="20" t="n">
        <v>0.23295552</v>
      </c>
      <c r="M14" s="18" t="n">
        <v>0</v>
      </c>
      <c r="N14" s="20" t="n">
        <v>0</v>
      </c>
      <c r="O14" s="18" t="n">
        <v>0</v>
      </c>
      <c r="P14" s="20" t="n">
        <v>0</v>
      </c>
      <c r="Q14" s="18" t="n">
        <v>1.14528418</v>
      </c>
      <c r="R14" s="20" t="n">
        <v>0.61711509</v>
      </c>
    </row>
    <row r="15" spans="1:18">
      <c r="A15" s="15" t="s">
        <v>357</v>
      </c>
      <c r="B15" s="17" t="n">
        <v>3019</v>
      </c>
      <c r="C15" s="18">
        <f>(2649.0/B15*100)</f>
        <v/>
      </c>
      <c r="D15" s="19" t="n">
        <v>370</v>
      </c>
      <c r="E15" s="18" t="n">
        <v>54.63343095</v>
      </c>
      <c r="F15" s="20" t="n">
        <v>3.03160866</v>
      </c>
      <c r="G15" s="18" t="n">
        <v>42.07279826</v>
      </c>
      <c r="H15" s="20" t="n">
        <v>3.03983128</v>
      </c>
      <c r="I15" s="18" t="s">
        <v>349</v>
      </c>
      <c r="J15" s="20" t="s">
        <v>349</v>
      </c>
      <c r="K15" s="18" t="n">
        <v>0.26869023</v>
      </c>
      <c r="L15" s="20" t="n">
        <v>0.27044059</v>
      </c>
      <c r="M15" s="18" t="n">
        <v>0</v>
      </c>
      <c r="N15" s="20" t="n">
        <v>0</v>
      </c>
      <c r="O15" s="18" t="n">
        <v>0</v>
      </c>
      <c r="P15" s="20" t="n">
        <v>0</v>
      </c>
      <c r="Q15" s="18" t="n">
        <v>3.02508057</v>
      </c>
      <c r="R15" s="20" t="n">
        <v>1.00344452</v>
      </c>
    </row>
    <row r="16" spans="1:18">
      <c r="A16" s="15" t="s">
        <v>358</v>
      </c>
      <c r="B16" s="17" t="n">
        <v>2997</v>
      </c>
      <c r="C16" s="18">
        <f>(2621.0/B16*100)</f>
        <v/>
      </c>
      <c r="D16" s="19" t="n">
        <v>376</v>
      </c>
      <c r="E16" s="18" t="n">
        <v>45.75544956</v>
      </c>
      <c r="F16" s="20" t="n">
        <v>2.45786015</v>
      </c>
      <c r="G16" s="18" t="n">
        <v>49.5478746</v>
      </c>
      <c r="H16" s="20" t="n">
        <v>2.49171509</v>
      </c>
      <c r="I16" s="18" t="s">
        <v>349</v>
      </c>
      <c r="J16" s="20" t="s">
        <v>349</v>
      </c>
      <c r="K16" s="18" t="n">
        <v>1.04285603</v>
      </c>
      <c r="L16" s="20" t="n">
        <v>0.49950068</v>
      </c>
      <c r="M16" s="18" t="n">
        <v>0</v>
      </c>
      <c r="N16" s="20" t="n">
        <v>0</v>
      </c>
      <c r="O16" s="18" t="n">
        <v>0</v>
      </c>
      <c r="P16" s="20" t="n">
        <v>0</v>
      </c>
      <c r="Q16" s="18" t="n">
        <v>3.65381981</v>
      </c>
      <c r="R16" s="20" t="n">
        <v>0.85425546</v>
      </c>
    </row>
    <row r="17" spans="1:18">
      <c r="A17" s="15" t="s">
        <v>359</v>
      </c>
      <c r="B17" s="17" t="n">
        <v>3307</v>
      </c>
      <c r="C17" s="18">
        <f>(2922.0/B17*100)</f>
        <v/>
      </c>
      <c r="D17" s="19" t="n">
        <v>385</v>
      </c>
      <c r="E17" s="18" t="n">
        <v>43.08629267</v>
      </c>
      <c r="F17" s="20" t="n">
        <v>2.75243702</v>
      </c>
      <c r="G17" s="18" t="n">
        <v>54.10499608</v>
      </c>
      <c r="H17" s="20" t="n">
        <v>2.94804404</v>
      </c>
      <c r="I17" s="18" t="s">
        <v>349</v>
      </c>
      <c r="J17" s="20" t="s">
        <v>349</v>
      </c>
      <c r="K17" s="18" t="n">
        <v>0.60693515</v>
      </c>
      <c r="L17" s="20" t="n">
        <v>0.39550262</v>
      </c>
      <c r="M17" s="18" t="n">
        <v>0</v>
      </c>
      <c r="N17" s="20" t="n">
        <v>0</v>
      </c>
      <c r="O17" s="18" t="n">
        <v>0</v>
      </c>
      <c r="P17" s="20" t="n">
        <v>0</v>
      </c>
      <c r="Q17" s="18" t="n">
        <v>2.20177611</v>
      </c>
      <c r="R17" s="20" t="n">
        <v>0.72236302</v>
      </c>
    </row>
    <row r="18" spans="1:18">
      <c r="A18" s="15" t="s">
        <v>360</v>
      </c>
      <c r="B18" s="17" t="n">
        <v>2826</v>
      </c>
      <c r="C18" s="18">
        <f>(2500.0/B18*100)</f>
        <v/>
      </c>
      <c r="D18" s="19" t="n">
        <v>326</v>
      </c>
      <c r="E18" s="18" t="n">
        <v>58.21522192</v>
      </c>
      <c r="F18" s="20" t="n">
        <v>3.03361238</v>
      </c>
      <c r="G18" s="18" t="n">
        <v>37.66610954</v>
      </c>
      <c r="H18" s="20" t="n">
        <v>2.96054393</v>
      </c>
      <c r="I18" s="18" t="s">
        <v>349</v>
      </c>
      <c r="J18" s="20" t="s">
        <v>349</v>
      </c>
      <c r="K18" s="18" t="n">
        <v>0.32585429</v>
      </c>
      <c r="L18" s="20" t="n">
        <v>0.33431914</v>
      </c>
      <c r="M18" s="18" t="n">
        <v>0</v>
      </c>
      <c r="N18" s="20" t="n">
        <v>0</v>
      </c>
      <c r="O18" s="18" t="n">
        <v>0</v>
      </c>
      <c r="P18" s="20" t="n">
        <v>0</v>
      </c>
      <c r="Q18" s="18" t="n">
        <v>3.79281424</v>
      </c>
      <c r="R18" s="20" t="n">
        <v>1.06815245</v>
      </c>
    </row>
    <row r="19" spans="1:18">
      <c r="A19" s="15" t="s">
        <v>361</v>
      </c>
      <c r="B19" s="17" t="n">
        <v>2808</v>
      </c>
      <c r="C19" s="18">
        <f>(2468.0/B19*100)</f>
        <v/>
      </c>
      <c r="D19" s="19" t="n">
        <v>340</v>
      </c>
      <c r="E19" s="18" t="n">
        <v>55.04465448</v>
      </c>
      <c r="F19" s="20" t="n">
        <v>2.97632123</v>
      </c>
      <c r="G19" s="18" t="n">
        <v>43.67871482</v>
      </c>
      <c r="H19" s="20" t="n">
        <v>3.01730324</v>
      </c>
      <c r="I19" s="18" t="s">
        <v>349</v>
      </c>
      <c r="J19" s="20" t="s">
        <v>349</v>
      </c>
      <c r="K19" s="18" t="n">
        <v>0</v>
      </c>
      <c r="L19" s="20" t="n">
        <v>0</v>
      </c>
      <c r="M19" s="18" t="n">
        <v>0</v>
      </c>
      <c r="N19" s="20" t="n">
        <v>0</v>
      </c>
      <c r="O19" s="18" t="n">
        <v>0</v>
      </c>
      <c r="P19" s="20" t="n">
        <v>0</v>
      </c>
      <c r="Q19" s="18" t="n">
        <v>1.2766307</v>
      </c>
      <c r="R19" s="20" t="n">
        <v>0.6140518</v>
      </c>
    </row>
    <row r="20" spans="1:18">
      <c r="A20" s="15" t="s">
        <v>362</v>
      </c>
      <c r="B20" s="17" t="n">
        <v>1630</v>
      </c>
      <c r="C20" s="18">
        <f>(1430.0/B20*100)</f>
        <v/>
      </c>
      <c r="D20" s="19" t="n">
        <v>200</v>
      </c>
      <c r="E20" s="18" t="n">
        <v>55.39686193</v>
      </c>
      <c r="F20" s="20" t="n">
        <v>3.74624008</v>
      </c>
      <c r="G20" s="18" t="n">
        <v>41.99500303</v>
      </c>
      <c r="H20" s="20" t="n">
        <v>3.59075352</v>
      </c>
      <c r="I20" s="18" t="s">
        <v>349</v>
      </c>
      <c r="J20" s="20" t="s">
        <v>349</v>
      </c>
      <c r="K20" s="18" t="n">
        <v>0.47022099</v>
      </c>
      <c r="L20" s="20" t="n">
        <v>0.47054523</v>
      </c>
      <c r="M20" s="18" t="n">
        <v>0</v>
      </c>
      <c r="N20" s="20" t="n">
        <v>0</v>
      </c>
      <c r="O20" s="18" t="n">
        <v>0</v>
      </c>
      <c r="P20" s="20" t="n">
        <v>0</v>
      </c>
      <c r="Q20" s="18" t="n">
        <v>2.13791405</v>
      </c>
      <c r="R20" s="20" t="n">
        <v>1.06090664</v>
      </c>
    </row>
    <row r="21" spans="1:18">
      <c r="A21" s="15" t="s">
        <v>363</v>
      </c>
      <c r="B21" s="17" t="n">
        <v>2908</v>
      </c>
      <c r="C21" s="18">
        <f>(2438.0/B21*100)</f>
        <v/>
      </c>
      <c r="D21" s="19" t="n">
        <v>470</v>
      </c>
      <c r="E21" s="18" t="n">
        <v>50.09041964</v>
      </c>
      <c r="F21" s="20" t="n">
        <v>2.20766178</v>
      </c>
      <c r="G21" s="18" t="n">
        <v>47.99878464</v>
      </c>
      <c r="H21" s="20" t="n">
        <v>2.24027465</v>
      </c>
      <c r="I21" s="18" t="s">
        <v>349</v>
      </c>
      <c r="J21" s="20" t="s">
        <v>349</v>
      </c>
      <c r="K21" s="18" t="n">
        <v>0</v>
      </c>
      <c r="L21" s="20" t="n">
        <v>0</v>
      </c>
      <c r="M21" s="18" t="n">
        <v>0</v>
      </c>
      <c r="N21" s="20" t="n">
        <v>0</v>
      </c>
      <c r="O21" s="18" t="n">
        <v>0</v>
      </c>
      <c r="P21" s="20" t="n">
        <v>0</v>
      </c>
      <c r="Q21" s="18" t="n">
        <v>1.91079572</v>
      </c>
      <c r="R21" s="20" t="n">
        <v>0.78946227</v>
      </c>
    </row>
    <row r="22" spans="1:18">
      <c r="A22" s="15" t="s">
        <v>364</v>
      </c>
      <c r="B22" s="17" t="n">
        <v>2931</v>
      </c>
      <c r="C22" s="18">
        <f>(2557.0/B22*100)</f>
        <v/>
      </c>
      <c r="D22" s="19" t="n">
        <v>374</v>
      </c>
      <c r="E22" s="18" t="n">
        <v>58.52106143</v>
      </c>
      <c r="F22" s="20" t="n">
        <v>2.85099568</v>
      </c>
      <c r="G22" s="18" t="n">
        <v>38.11118631</v>
      </c>
      <c r="H22" s="20" t="n">
        <v>2.63711184</v>
      </c>
      <c r="I22" s="18" t="s">
        <v>349</v>
      </c>
      <c r="J22" s="20" t="s">
        <v>349</v>
      </c>
      <c r="K22" s="18" t="n">
        <v>0.60829674</v>
      </c>
      <c r="L22" s="20" t="n">
        <v>0.4751613</v>
      </c>
      <c r="M22" s="18" t="n">
        <v>0</v>
      </c>
      <c r="N22" s="20" t="n">
        <v>0</v>
      </c>
      <c r="O22" s="18" t="n">
        <v>0</v>
      </c>
      <c r="P22" s="20" t="n">
        <v>0</v>
      </c>
      <c r="Q22" s="18" t="n">
        <v>2.75945551</v>
      </c>
      <c r="R22" s="20" t="n">
        <v>0.92222966</v>
      </c>
    </row>
    <row r="23" spans="1:18">
      <c r="A23" s="15" t="s">
        <v>365</v>
      </c>
      <c r="B23" s="17" t="n">
        <v>5791</v>
      </c>
      <c r="C23" s="18">
        <f>(5098.0/B23*100)</f>
        <v/>
      </c>
      <c r="D23" s="19" t="n">
        <v>693</v>
      </c>
      <c r="E23" s="18" t="n">
        <v>48.33813585</v>
      </c>
      <c r="F23" s="20" t="n">
        <v>2.81562841</v>
      </c>
      <c r="G23" s="18" t="n">
        <v>48.32342068</v>
      </c>
      <c r="H23" s="20" t="n">
        <v>2.71927365</v>
      </c>
      <c r="I23" s="18" t="s">
        <v>349</v>
      </c>
      <c r="J23" s="20" t="s">
        <v>349</v>
      </c>
      <c r="K23" s="18" t="n">
        <v>0.36005745</v>
      </c>
      <c r="L23" s="20" t="n">
        <v>0.35140078</v>
      </c>
      <c r="M23" s="18" t="n">
        <v>0</v>
      </c>
      <c r="N23" s="20" t="n">
        <v>0</v>
      </c>
      <c r="O23" s="18" t="n">
        <v>0</v>
      </c>
      <c r="P23" s="20" t="n">
        <v>0</v>
      </c>
      <c r="Q23" s="18" t="n">
        <v>2.97838602</v>
      </c>
      <c r="R23" s="20" t="n">
        <v>1.0267383</v>
      </c>
    </row>
    <row r="24" spans="1:18">
      <c r="A24" s="15" t="s">
        <v>366</v>
      </c>
      <c r="B24" s="17" t="n">
        <v>3338</v>
      </c>
      <c r="C24" s="18">
        <f>(2914.0/B24*100)</f>
        <v/>
      </c>
      <c r="D24" s="19" t="n">
        <v>424</v>
      </c>
      <c r="E24" s="18" t="n">
        <v>42.31289979</v>
      </c>
      <c r="F24" s="20" t="n">
        <v>2.47160925</v>
      </c>
      <c r="G24" s="18" t="n">
        <v>55.20089354</v>
      </c>
      <c r="H24" s="20" t="n">
        <v>2.61612614</v>
      </c>
      <c r="I24" s="18" t="s">
        <v>349</v>
      </c>
      <c r="J24" s="20" t="s">
        <v>349</v>
      </c>
      <c r="K24" s="18" t="n">
        <v>0.21734452</v>
      </c>
      <c r="L24" s="20" t="n">
        <v>0.21918798</v>
      </c>
      <c r="M24" s="18" t="n">
        <v>0</v>
      </c>
      <c r="N24" s="20" t="n">
        <v>0</v>
      </c>
      <c r="O24" s="18" t="n">
        <v>0</v>
      </c>
      <c r="P24" s="20" t="n">
        <v>0</v>
      </c>
      <c r="Q24" s="18" t="n">
        <v>2.26886216</v>
      </c>
      <c r="R24" s="20" t="n">
        <v>0.6911588400000001</v>
      </c>
    </row>
    <row r="25" spans="1:18">
      <c r="A25" s="15" t="s">
        <v>367</v>
      </c>
      <c r="B25" s="17" t="n">
        <v>2912</v>
      </c>
      <c r="C25" s="18">
        <f>(2564.0/B25*100)</f>
        <v/>
      </c>
      <c r="D25" s="19" t="n">
        <v>348</v>
      </c>
      <c r="E25" s="18" t="n">
        <v>47.94727324</v>
      </c>
      <c r="F25" s="20" t="n">
        <v>2.95255733</v>
      </c>
      <c r="G25" s="18" t="n">
        <v>51.74239581</v>
      </c>
      <c r="H25" s="20" t="n">
        <v>2.96799559</v>
      </c>
      <c r="I25" s="18" t="s">
        <v>349</v>
      </c>
      <c r="J25" s="20" t="s">
        <v>349</v>
      </c>
      <c r="K25" s="18" t="n">
        <v>0</v>
      </c>
      <c r="L25" s="20" t="n">
        <v>0</v>
      </c>
      <c r="M25" s="18" t="n">
        <v>0</v>
      </c>
      <c r="N25" s="20" t="n">
        <v>0</v>
      </c>
      <c r="O25" s="18" t="n">
        <v>0</v>
      </c>
      <c r="P25" s="20" t="n">
        <v>0</v>
      </c>
      <c r="Q25" s="18" t="n">
        <v>0.31033095</v>
      </c>
      <c r="R25" s="20" t="n">
        <v>0.31047557</v>
      </c>
    </row>
    <row r="26" spans="1:18">
      <c r="A26" s="15" t="s">
        <v>368</v>
      </c>
      <c r="B26" s="17" t="n">
        <v>2450</v>
      </c>
      <c r="C26" s="18">
        <f>(2164.0/B26*100)</f>
        <v/>
      </c>
      <c r="D26" s="19" t="n">
        <v>286</v>
      </c>
      <c r="E26" s="18" t="n">
        <v>44.19872792</v>
      </c>
      <c r="F26" s="20" t="n">
        <v>3.17226899</v>
      </c>
      <c r="G26" s="18" t="n">
        <v>55.80127208</v>
      </c>
      <c r="H26" s="20" t="n">
        <v>3.17226899</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(2293.0/B27*100)</f>
        <v/>
      </c>
      <c r="D27" s="19" t="n">
        <v>323</v>
      </c>
      <c r="E27" s="18" t="n">
        <v>47.43325904</v>
      </c>
      <c r="F27" s="20" t="n">
        <v>3.01843055</v>
      </c>
      <c r="G27" s="18" t="n">
        <v>48.24500306</v>
      </c>
      <c r="H27" s="20" t="n">
        <v>3.10368586</v>
      </c>
      <c r="I27" s="18" t="s">
        <v>349</v>
      </c>
      <c r="J27" s="20" t="s">
        <v>349</v>
      </c>
      <c r="K27" s="18" t="n">
        <v>0.94127682</v>
      </c>
      <c r="L27" s="20" t="n">
        <v>0.54019811</v>
      </c>
      <c r="M27" s="18" t="n">
        <v>0</v>
      </c>
      <c r="N27" s="20" t="n">
        <v>0</v>
      </c>
      <c r="O27" s="18" t="n">
        <v>0</v>
      </c>
      <c r="P27" s="20" t="n">
        <v>0</v>
      </c>
      <c r="Q27" s="18" t="n">
        <v>3.38046108</v>
      </c>
      <c r="R27" s="20" t="n">
        <v>0.9312464</v>
      </c>
    </row>
    <row r="28" spans="1:18">
      <c r="A28" s="15" t="s">
        <v>370</v>
      </c>
      <c r="B28" s="17" t="n">
        <v>3765</v>
      </c>
      <c r="C28" s="18">
        <f>(3371.0/B28*100)</f>
        <v/>
      </c>
      <c r="D28" s="19" t="n">
        <v>394</v>
      </c>
      <c r="E28" s="18" t="n">
        <v>73.47209961</v>
      </c>
      <c r="F28" s="20" t="n">
        <v>2.79284033</v>
      </c>
      <c r="G28" s="18" t="n">
        <v>23.99509482</v>
      </c>
      <c r="H28" s="20" t="n">
        <v>2.61156598</v>
      </c>
      <c r="I28" s="18" t="s">
        <v>349</v>
      </c>
      <c r="J28" s="20" t="s">
        <v>349</v>
      </c>
      <c r="K28" s="18" t="n">
        <v>0.78063528</v>
      </c>
      <c r="L28" s="20" t="n">
        <v>0.57185275</v>
      </c>
      <c r="M28" s="18" t="n">
        <v>0</v>
      </c>
      <c r="N28" s="20" t="n">
        <v>0</v>
      </c>
      <c r="O28" s="18" t="n">
        <v>0</v>
      </c>
      <c r="P28" s="20" t="n">
        <v>0</v>
      </c>
      <c r="Q28" s="18" t="n">
        <v>1.75217028</v>
      </c>
      <c r="R28" s="20" t="n">
        <v>0.73093154</v>
      </c>
    </row>
    <row r="29" spans="1:18">
      <c r="A29" s="15" t="s">
        <v>371</v>
      </c>
      <c r="B29" s="17" t="n">
        <v>2685</v>
      </c>
      <c r="C29" s="18">
        <f>(2388.0/B29*100)</f>
        <v/>
      </c>
      <c r="D29" s="19" t="n">
        <v>297</v>
      </c>
      <c r="E29" s="18" t="n">
        <v>54.00897148</v>
      </c>
      <c r="F29" s="20" t="n">
        <v>2.7066383</v>
      </c>
      <c r="G29" s="18" t="n">
        <v>44.25292292</v>
      </c>
      <c r="H29" s="20" t="n">
        <v>2.69522421</v>
      </c>
      <c r="I29" s="18" t="s">
        <v>349</v>
      </c>
      <c r="J29" s="20" t="s">
        <v>349</v>
      </c>
      <c r="K29" s="18" t="n">
        <v>0.34441581</v>
      </c>
      <c r="L29" s="20" t="n">
        <v>0.34410205</v>
      </c>
      <c r="M29" s="18" t="n">
        <v>0</v>
      </c>
      <c r="N29" s="20" t="n">
        <v>0</v>
      </c>
      <c r="O29" s="18" t="n">
        <v>0</v>
      </c>
      <c r="P29" s="20" t="n">
        <v>0</v>
      </c>
      <c r="Q29" s="18" t="n">
        <v>1.39368979</v>
      </c>
      <c r="R29" s="20" t="n">
        <v>0.68162842</v>
      </c>
    </row>
    <row r="30" spans="1:18">
      <c r="A30" s="15" t="s">
        <v>372</v>
      </c>
      <c r="B30" s="17" t="n">
        <v>2263</v>
      </c>
      <c r="C30" s="18">
        <f>(1992.0/B30*100)</f>
        <v/>
      </c>
      <c r="D30" s="19" t="n">
        <v>271</v>
      </c>
      <c r="E30" s="18" t="n">
        <v>48.4401249</v>
      </c>
      <c r="F30" s="20" t="n">
        <v>2.72581027</v>
      </c>
      <c r="G30" s="18" t="n">
        <v>47.544531</v>
      </c>
      <c r="H30" s="20" t="n">
        <v>2.85656038</v>
      </c>
      <c r="I30" s="18" t="s">
        <v>349</v>
      </c>
      <c r="J30" s="20" t="s">
        <v>349</v>
      </c>
      <c r="K30" s="18" t="n">
        <v>0.34672097</v>
      </c>
      <c r="L30" s="20" t="n">
        <v>0.50890828</v>
      </c>
      <c r="M30" s="18" t="n">
        <v>0</v>
      </c>
      <c r="N30" s="20" t="n">
        <v>0</v>
      </c>
      <c r="O30" s="18" t="n">
        <v>0</v>
      </c>
      <c r="P30" s="20" t="n">
        <v>0</v>
      </c>
      <c r="Q30" s="18" t="n">
        <v>3.66862314</v>
      </c>
      <c r="R30" s="20" t="n">
        <v>1.11411217</v>
      </c>
    </row>
    <row r="31" spans="1:18">
      <c r="A31" s="15" t="s">
        <v>373</v>
      </c>
      <c r="B31" s="17" t="n">
        <v>2750</v>
      </c>
      <c r="C31" s="18">
        <f>(2416.0/B31*100)</f>
        <v/>
      </c>
      <c r="D31" s="19" t="n">
        <v>334</v>
      </c>
      <c r="E31" s="18" t="n">
        <v>49.57805547</v>
      </c>
      <c r="F31" s="20" t="n">
        <v>2.58736226</v>
      </c>
      <c r="G31" s="18" t="n">
        <v>47.17576161</v>
      </c>
      <c r="H31" s="20" t="n">
        <v>2.77283115</v>
      </c>
      <c r="I31" s="18" t="s">
        <v>349</v>
      </c>
      <c r="J31" s="20" t="s">
        <v>349</v>
      </c>
      <c r="K31" s="18" t="n">
        <v>1.20065008</v>
      </c>
      <c r="L31" s="20" t="n">
        <v>0.58202005</v>
      </c>
      <c r="M31" s="18" t="n">
        <v>0</v>
      </c>
      <c r="N31" s="20" t="n">
        <v>0</v>
      </c>
      <c r="O31" s="18" t="n">
        <v>0</v>
      </c>
      <c r="P31" s="20" t="n">
        <v>0</v>
      </c>
      <c r="Q31" s="18" t="n">
        <v>2.04553284</v>
      </c>
      <c r="R31" s="20" t="n">
        <v>0.77504019</v>
      </c>
    </row>
    <row r="32" spans="1:18">
      <c r="A32" s="15" t="s">
        <v>374</v>
      </c>
      <c r="B32" s="17" t="n">
        <v>2269</v>
      </c>
      <c r="C32" s="18">
        <f>(1872.0/B32*100)</f>
        <v/>
      </c>
      <c r="D32" s="19" t="n">
        <v>397</v>
      </c>
      <c r="E32" s="18" t="n">
        <v>46.35813781</v>
      </c>
      <c r="F32" s="20" t="n">
        <v>2.73058915</v>
      </c>
      <c r="G32" s="18" t="n">
        <v>53.43449707</v>
      </c>
      <c r="H32" s="20" t="n">
        <v>2.73241709</v>
      </c>
      <c r="I32" s="18" t="s">
        <v>349</v>
      </c>
      <c r="J32" s="20" t="s">
        <v>349</v>
      </c>
      <c r="K32" s="18" t="n">
        <v>0</v>
      </c>
      <c r="L32" s="20" t="n">
        <v>0</v>
      </c>
      <c r="M32" s="18" t="n">
        <v>0</v>
      </c>
      <c r="N32" s="20" t="n">
        <v>0</v>
      </c>
      <c r="O32" s="18" t="n">
        <v>0</v>
      </c>
      <c r="P32" s="20" t="n">
        <v>0</v>
      </c>
      <c r="Q32" s="18" t="n">
        <v>0.20736512</v>
      </c>
      <c r="R32" s="20" t="n">
        <v>0.20724651</v>
      </c>
    </row>
    <row r="33" spans="1:18">
      <c r="A33" s="15" t="s">
        <v>375</v>
      </c>
      <c r="B33" s="17" t="n">
        <v>3674</v>
      </c>
      <c r="C33" s="18">
        <f>(3242.0/B33*100)</f>
        <v/>
      </c>
      <c r="D33" s="19" t="n">
        <v>432</v>
      </c>
      <c r="E33" s="18" t="n">
        <v>54.66868432</v>
      </c>
      <c r="F33" s="20" t="n">
        <v>2.33378167</v>
      </c>
      <c r="G33" s="18" t="n">
        <v>43.73882168</v>
      </c>
      <c r="H33" s="20" t="n">
        <v>2.37161371</v>
      </c>
      <c r="I33" s="18" t="s">
        <v>349</v>
      </c>
      <c r="J33" s="20" t="s">
        <v>349</v>
      </c>
      <c r="K33" s="18" t="n">
        <v>0.43321892</v>
      </c>
      <c r="L33" s="20" t="n">
        <v>0.44305</v>
      </c>
      <c r="M33" s="18" t="n">
        <v>0</v>
      </c>
      <c r="N33" s="20" t="n">
        <v>0</v>
      </c>
      <c r="O33" s="18" t="n">
        <v>0</v>
      </c>
      <c r="P33" s="20" t="n">
        <v>0</v>
      </c>
      <c r="Q33" s="18" t="n">
        <v>1.15927508</v>
      </c>
      <c r="R33" s="20" t="n">
        <v>0.52943744</v>
      </c>
    </row>
    <row r="34" spans="1:18">
      <c r="A34" s="15" t="s">
        <v>376</v>
      </c>
      <c r="B34" s="17" t="n">
        <v>3315</v>
      </c>
      <c r="C34" s="18">
        <f>(2905.0/B34*100)</f>
        <v/>
      </c>
      <c r="D34" s="19" t="n">
        <v>410</v>
      </c>
      <c r="E34" s="18" t="n">
        <v>60.34572653</v>
      </c>
      <c r="F34" s="20" t="n">
        <v>2.62065242</v>
      </c>
      <c r="G34" s="18" t="n">
        <v>38.4106985</v>
      </c>
      <c r="H34" s="20" t="n">
        <v>2.61797937</v>
      </c>
      <c r="I34" s="18" t="s">
        <v>349</v>
      </c>
      <c r="J34" s="20" t="s">
        <v>349</v>
      </c>
      <c r="K34" s="18" t="n">
        <v>0.26058824</v>
      </c>
      <c r="L34" s="20" t="n">
        <v>0.26659155</v>
      </c>
      <c r="M34" s="18" t="n">
        <v>0</v>
      </c>
      <c r="N34" s="20" t="n">
        <v>0</v>
      </c>
      <c r="O34" s="18" t="n">
        <v>0</v>
      </c>
      <c r="P34" s="20" t="n">
        <v>0</v>
      </c>
      <c r="Q34" s="18" t="n">
        <v>0.98298673</v>
      </c>
      <c r="R34" s="20" t="n">
        <v>0.43652969</v>
      </c>
    </row>
    <row r="35" spans="1:18">
      <c r="A35" s="15" t="s">
        <v>377</v>
      </c>
      <c r="B35" s="17" t="n">
        <v>3505</v>
      </c>
      <c r="C35" s="18">
        <f>(3063.0/B35*100)</f>
        <v/>
      </c>
      <c r="D35" s="19" t="n">
        <v>442</v>
      </c>
      <c r="E35" s="18" t="n">
        <v>47.8486649</v>
      </c>
      <c r="F35" s="20" t="n">
        <v>3.00504526</v>
      </c>
      <c r="G35" s="18" t="n">
        <v>49.93979325</v>
      </c>
      <c r="H35" s="20" t="n">
        <v>2.92880528</v>
      </c>
      <c r="I35" s="18" t="s">
        <v>349</v>
      </c>
      <c r="J35" s="20" t="s">
        <v>349</v>
      </c>
      <c r="K35" s="18" t="n">
        <v>0.2211764</v>
      </c>
      <c r="L35" s="20" t="n">
        <v>0.15939809</v>
      </c>
      <c r="M35" s="18" t="n">
        <v>0</v>
      </c>
      <c r="N35" s="20" t="n">
        <v>0</v>
      </c>
      <c r="O35" s="18" t="n">
        <v>0</v>
      </c>
      <c r="P35" s="20" t="n">
        <v>0</v>
      </c>
      <c r="Q35" s="18" t="n">
        <v>1.99036544</v>
      </c>
      <c r="R35" s="20" t="n">
        <v>0.73114631</v>
      </c>
    </row>
    <row r="36" spans="1:18">
      <c r="A36" s="15" t="s">
        <v>378</v>
      </c>
      <c r="B36" s="17" t="n">
        <v>3332</v>
      </c>
      <c r="C36" s="18">
        <f>(2930.0/B36*100)</f>
        <v/>
      </c>
      <c r="D36" s="19" t="n">
        <v>402</v>
      </c>
      <c r="E36" s="18" t="n">
        <v>49.82614504</v>
      </c>
      <c r="F36" s="20" t="n">
        <v>2.81335743</v>
      </c>
      <c r="G36" s="18" t="n">
        <v>45.58856861</v>
      </c>
      <c r="H36" s="20" t="n">
        <v>2.53388099</v>
      </c>
      <c r="I36" s="18" t="s">
        <v>349</v>
      </c>
      <c r="J36" s="20" t="s">
        <v>349</v>
      </c>
      <c r="K36" s="18" t="n">
        <v>1.3478214</v>
      </c>
      <c r="L36" s="20" t="n">
        <v>0.6044337400000001</v>
      </c>
      <c r="M36" s="18" t="n">
        <v>0</v>
      </c>
      <c r="N36" s="20" t="n">
        <v>0</v>
      </c>
      <c r="O36" s="18" t="n">
        <v>0</v>
      </c>
      <c r="P36" s="20" t="n">
        <v>0</v>
      </c>
      <c r="Q36" s="18" t="n">
        <v>3.23746495</v>
      </c>
      <c r="R36" s="20" t="n">
        <v>0.81511755</v>
      </c>
    </row>
    <row r="37" spans="1:18">
      <c r="A37" s="15" t="s">
        <v>379</v>
      </c>
      <c r="B37" s="17" t="n">
        <v>2727</v>
      </c>
      <c r="C37" s="18">
        <f>(2409.0/B37*100)</f>
        <v/>
      </c>
      <c r="D37" s="19" t="n">
        <v>318</v>
      </c>
      <c r="E37" s="18" t="n">
        <v>52.12134988</v>
      </c>
      <c r="F37" s="20" t="n">
        <v>3.2438476</v>
      </c>
      <c r="G37" s="18" t="n">
        <v>41.53971503</v>
      </c>
      <c r="H37" s="20" t="n">
        <v>3.60031319</v>
      </c>
      <c r="I37" s="18" t="s">
        <v>349</v>
      </c>
      <c r="J37" s="20" t="s">
        <v>349</v>
      </c>
      <c r="K37" s="18" t="n">
        <v>1.72786703</v>
      </c>
      <c r="L37" s="20" t="n">
        <v>0.7932157</v>
      </c>
      <c r="M37" s="18" t="n">
        <v>0</v>
      </c>
      <c r="N37" s="20" t="n">
        <v>0</v>
      </c>
      <c r="O37" s="18" t="n">
        <v>0</v>
      </c>
      <c r="P37" s="20" t="n">
        <v>0</v>
      </c>
      <c r="Q37" s="18" t="n">
        <v>4.61106807</v>
      </c>
      <c r="R37" s="20" t="n">
        <v>1.00824919</v>
      </c>
    </row>
    <row r="38" spans="1:18">
      <c r="A38" s="15" t="s">
        <v>380</v>
      </c>
      <c r="B38" s="17" t="n">
        <v>3053</v>
      </c>
      <c r="C38" s="18">
        <f>(2591.0/B38*100)</f>
        <v/>
      </c>
      <c r="D38" s="19" t="n">
        <v>462</v>
      </c>
      <c r="E38" s="18" t="n">
        <v>49.46517237</v>
      </c>
      <c r="F38" s="20" t="n">
        <v>2.7239531</v>
      </c>
      <c r="G38" s="18" t="n">
        <v>47.59292544</v>
      </c>
      <c r="H38" s="20" t="n">
        <v>2.77065902</v>
      </c>
      <c r="I38" s="18" t="s">
        <v>349</v>
      </c>
      <c r="J38" s="20" t="s">
        <v>349</v>
      </c>
      <c r="K38" s="18" t="n">
        <v>1.57582515</v>
      </c>
      <c r="L38" s="20" t="n">
        <v>0.61172706</v>
      </c>
      <c r="M38" s="18" t="n">
        <v>0</v>
      </c>
      <c r="N38" s="20" t="n">
        <v>0</v>
      </c>
      <c r="O38" s="18" t="n">
        <v>0</v>
      </c>
      <c r="P38" s="20" t="n">
        <v>0</v>
      </c>
      <c r="Q38" s="18" t="n">
        <v>1.36607704</v>
      </c>
      <c r="R38" s="20" t="n">
        <v>0.56427974</v>
      </c>
    </row>
    <row r="39" spans="1:18">
      <c r="A39" s="15" t="s">
        <v>381</v>
      </c>
      <c r="B39" s="17" t="n">
        <v>2957</v>
      </c>
      <c r="C39" s="18">
        <f>(2593.0/B39*100)</f>
        <v/>
      </c>
      <c r="D39" s="19" t="n">
        <v>364</v>
      </c>
      <c r="E39" s="18" t="n">
        <v>68.67125717</v>
      </c>
      <c r="F39" s="20" t="n">
        <v>2.91313665</v>
      </c>
      <c r="G39" s="18" t="n">
        <v>27.63455342</v>
      </c>
      <c r="H39" s="20" t="n">
        <v>2.72819574</v>
      </c>
      <c r="I39" s="18" t="s">
        <v>349</v>
      </c>
      <c r="J39" s="20" t="s">
        <v>349</v>
      </c>
      <c r="K39" s="18" t="n">
        <v>0.6857607100000001</v>
      </c>
      <c r="L39" s="20" t="n">
        <v>0.41672458</v>
      </c>
      <c r="M39" s="18" t="n">
        <v>0</v>
      </c>
      <c r="N39" s="20" t="n">
        <v>0</v>
      </c>
      <c r="O39" s="18" t="n">
        <v>0</v>
      </c>
      <c r="P39" s="20" t="n">
        <v>0</v>
      </c>
      <c r="Q39" s="18" t="n">
        <v>3.0084287</v>
      </c>
      <c r="R39" s="20" t="n">
        <v>0.88588339</v>
      </c>
    </row>
    <row r="40" spans="1:18">
      <c r="A40" s="15" t="s">
        <v>382</v>
      </c>
      <c r="B40" s="17" t="n">
        <v>7235</v>
      </c>
      <c r="C40" s="18">
        <f>(6336.0/B40*100)</f>
        <v/>
      </c>
      <c r="D40" s="19" t="n">
        <v>899</v>
      </c>
      <c r="E40" s="18" t="n">
        <v>48.90238252</v>
      </c>
      <c r="F40" s="20" t="n">
        <v>2.74514471</v>
      </c>
      <c r="G40" s="18" t="n">
        <v>47.55759764</v>
      </c>
      <c r="H40" s="20" t="n">
        <v>2.8032105</v>
      </c>
      <c r="I40" s="18" t="s">
        <v>349</v>
      </c>
      <c r="J40" s="20" t="s">
        <v>349</v>
      </c>
      <c r="K40" s="18" t="n">
        <v>0.38766103</v>
      </c>
      <c r="L40" s="20" t="n">
        <v>0.20925432</v>
      </c>
      <c r="M40" s="18" t="n">
        <v>0</v>
      </c>
      <c r="N40" s="20" t="n">
        <v>0</v>
      </c>
      <c r="O40" s="18" t="n">
        <v>0</v>
      </c>
      <c r="P40" s="20" t="n">
        <v>0</v>
      </c>
      <c r="Q40" s="18" t="n">
        <v>3.15235882</v>
      </c>
      <c r="R40" s="20" t="n">
        <v>0.87352668</v>
      </c>
    </row>
    <row r="41" spans="1:18">
      <c r="A41" s="15" t="s">
        <v>383</v>
      </c>
      <c r="B41" s="17" t="n">
        <v>2858</v>
      </c>
      <c r="C41" s="18">
        <f>(2515.0/B41*100)</f>
        <v/>
      </c>
      <c r="D41" s="19" t="n">
        <v>343</v>
      </c>
      <c r="E41" s="18" t="n">
        <v>59.151468</v>
      </c>
      <c r="F41" s="20" t="n">
        <v>3.09740064</v>
      </c>
      <c r="G41" s="18" t="n">
        <v>38.95426063</v>
      </c>
      <c r="H41" s="20" t="n">
        <v>2.99924455</v>
      </c>
      <c r="I41" s="18" t="s">
        <v>349</v>
      </c>
      <c r="J41" s="20" t="s">
        <v>349</v>
      </c>
      <c r="K41" s="18" t="n">
        <v>1.31721511</v>
      </c>
      <c r="L41" s="20" t="n">
        <v>0.91795404</v>
      </c>
      <c r="M41" s="18" t="n">
        <v>0</v>
      </c>
      <c r="N41" s="20" t="n">
        <v>0</v>
      </c>
      <c r="O41" s="18" t="n">
        <v>0</v>
      </c>
      <c r="P41" s="20" t="n">
        <v>0</v>
      </c>
      <c r="Q41" s="18" t="n">
        <v>0.57705626</v>
      </c>
      <c r="R41" s="20" t="n">
        <v>0.39028312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(9955.0/B46*100)</f>
        <v/>
      </c>
      <c r="D46" s="19" t="n">
        <v>1113</v>
      </c>
      <c r="E46" s="18" t="n">
        <v>70.89162466000001</v>
      </c>
      <c r="F46" s="20" t="n">
        <v>1.97016091</v>
      </c>
      <c r="G46" s="18" t="n">
        <v>22.00221025</v>
      </c>
      <c r="H46" s="20" t="n">
        <v>1.60386088</v>
      </c>
      <c r="I46" s="18" t="s">
        <v>349</v>
      </c>
      <c r="J46" s="20" t="s">
        <v>349</v>
      </c>
      <c r="K46" s="18" t="n">
        <v>1.51892932</v>
      </c>
      <c r="L46" s="20" t="n">
        <v>0.49966016</v>
      </c>
      <c r="M46" s="18" t="n">
        <v>0</v>
      </c>
      <c r="N46" s="20" t="n">
        <v>0</v>
      </c>
      <c r="O46" s="18" t="n">
        <v>0</v>
      </c>
      <c r="P46" s="20" t="n">
        <v>0</v>
      </c>
      <c r="Q46" s="18" t="n">
        <v>5.58723577</v>
      </c>
      <c r="R46" s="20" t="n">
        <v>1.01674812</v>
      </c>
    </row>
    <row r="47" spans="1:18">
      <c r="A47" s="15" t="s">
        <v>389</v>
      </c>
      <c r="B47" s="17" t="n">
        <v>3105</v>
      </c>
      <c r="C47" s="18">
        <f>(2729.0/B47*100)</f>
        <v/>
      </c>
      <c r="D47" s="19" t="n">
        <v>376</v>
      </c>
      <c r="E47" s="18" t="n">
        <v>65.45720746000001</v>
      </c>
      <c r="F47" s="20" t="n">
        <v>2.39558843</v>
      </c>
      <c r="G47" s="18" t="n">
        <v>30.97359492</v>
      </c>
      <c r="H47" s="20" t="n">
        <v>2.26885602</v>
      </c>
      <c r="I47" s="18" t="s">
        <v>349</v>
      </c>
      <c r="J47" s="20" t="s">
        <v>349</v>
      </c>
      <c r="K47" s="18" t="n">
        <v>0.48534049</v>
      </c>
      <c r="L47" s="20" t="n">
        <v>0.34343457</v>
      </c>
      <c r="M47" s="18" t="n">
        <v>0</v>
      </c>
      <c r="N47" s="20" t="n">
        <v>0</v>
      </c>
      <c r="O47" s="18" t="n">
        <v>0</v>
      </c>
      <c r="P47" s="20" t="n">
        <v>0</v>
      </c>
      <c r="Q47" s="18" t="n">
        <v>3.08385714</v>
      </c>
      <c r="R47" s="20" t="n">
        <v>0.90121059</v>
      </c>
    </row>
    <row r="48" spans="1:18">
      <c r="A48" s="15" t="s">
        <v>390</v>
      </c>
      <c r="B48" s="17" t="n">
        <v>5159</v>
      </c>
      <c r="C48" s="18">
        <f>(4532.0/B48*100)</f>
        <v/>
      </c>
      <c r="D48" s="19" t="n">
        <v>627</v>
      </c>
      <c r="E48" s="18" t="n">
        <v>50.1300608</v>
      </c>
      <c r="F48" s="20" t="n">
        <v>2.40348537</v>
      </c>
      <c r="G48" s="18" t="n">
        <v>48.77820505</v>
      </c>
      <c r="H48" s="20" t="n">
        <v>2.51918289</v>
      </c>
      <c r="I48" s="18" t="s">
        <v>349</v>
      </c>
      <c r="J48" s="20" t="s">
        <v>349</v>
      </c>
      <c r="K48" s="18" t="n">
        <v>0.51124422</v>
      </c>
      <c r="L48" s="20" t="n">
        <v>0.35213191</v>
      </c>
      <c r="M48" s="18" t="n">
        <v>0</v>
      </c>
      <c r="N48" s="20" t="n">
        <v>0</v>
      </c>
      <c r="O48" s="18" t="n">
        <v>0</v>
      </c>
      <c r="P48" s="20" t="n">
        <v>0</v>
      </c>
      <c r="Q48" s="18" t="n">
        <v>0.58048992</v>
      </c>
      <c r="R48" s="20" t="n">
        <v>0.50800334</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(4957.0/B50*100)</f>
        <v/>
      </c>
      <c r="D50" s="19" t="n">
        <v>680</v>
      </c>
      <c r="E50" s="18" t="n">
        <v>72.43363026</v>
      </c>
      <c r="F50" s="20" t="n">
        <v>2.48543199</v>
      </c>
      <c r="G50" s="18" t="n">
        <v>25.30863329</v>
      </c>
      <c r="H50" s="20" t="n">
        <v>2.12897906</v>
      </c>
      <c r="I50" s="18" t="s">
        <v>349</v>
      </c>
      <c r="J50" s="20" t="s">
        <v>349</v>
      </c>
      <c r="K50" s="18" t="n">
        <v>0.82221406</v>
      </c>
      <c r="L50" s="20" t="n">
        <v>0.43059052</v>
      </c>
      <c r="M50" s="18" t="n">
        <v>0</v>
      </c>
      <c r="N50" s="20" t="n">
        <v>0</v>
      </c>
      <c r="O50" s="18" t="n">
        <v>0</v>
      </c>
      <c r="P50" s="20" t="n">
        <v>0</v>
      </c>
      <c r="Q50" s="18" t="n">
        <v>1.43552238</v>
      </c>
      <c r="R50" s="20" t="n">
        <v>0.69134525</v>
      </c>
    </row>
    <row r="51" spans="1:18">
      <c r="A51" s="15" t="s">
        <v>393</v>
      </c>
      <c r="B51" s="17" t="n">
        <v>3372</v>
      </c>
      <c r="C51" s="18">
        <f>(3034.0/B51*100)</f>
        <v/>
      </c>
      <c r="D51" s="19" t="n">
        <v>338</v>
      </c>
      <c r="E51" s="18" t="n">
        <v>70.61523368</v>
      </c>
      <c r="F51" s="20" t="n">
        <v>2.30225854</v>
      </c>
      <c r="G51" s="18" t="n">
        <v>27.65895788</v>
      </c>
      <c r="H51" s="20" t="n">
        <v>2.33558717</v>
      </c>
      <c r="I51" s="18" t="s">
        <v>349</v>
      </c>
      <c r="J51" s="20" t="s">
        <v>349</v>
      </c>
      <c r="K51" s="18" t="n">
        <v>0</v>
      </c>
      <c r="L51" s="20" t="n">
        <v>0</v>
      </c>
      <c r="M51" s="18" t="n">
        <v>0</v>
      </c>
      <c r="N51" s="20" t="n">
        <v>0</v>
      </c>
      <c r="O51" s="18" t="n">
        <v>0</v>
      </c>
      <c r="P51" s="20" t="n">
        <v>0</v>
      </c>
      <c r="Q51" s="18" t="n">
        <v>1.72580845</v>
      </c>
      <c r="R51" s="20" t="n">
        <v>0.57487762</v>
      </c>
    </row>
    <row r="52" spans="1:18">
      <c r="A52" s="15" t="s">
        <v>394</v>
      </c>
      <c r="B52" s="17" t="n">
        <v>2796</v>
      </c>
      <c r="C52" s="18">
        <f>(2462.0/B52*100)</f>
        <v/>
      </c>
      <c r="D52" s="19" t="n">
        <v>334</v>
      </c>
      <c r="E52" s="18" t="n">
        <v>56.68787605</v>
      </c>
      <c r="F52" s="20" t="n">
        <v>2.45014486</v>
      </c>
      <c r="G52" s="18" t="n">
        <v>39.76150924</v>
      </c>
      <c r="H52" s="20" t="n">
        <v>2.74007572</v>
      </c>
      <c r="I52" s="18" t="s">
        <v>349</v>
      </c>
      <c r="J52" s="20" t="s">
        <v>349</v>
      </c>
      <c r="K52" s="18" t="n">
        <v>0</v>
      </c>
      <c r="L52" s="20" t="n">
        <v>0</v>
      </c>
      <c r="M52" s="18" t="n">
        <v>0</v>
      </c>
      <c r="N52" s="20" t="n">
        <v>0</v>
      </c>
      <c r="O52" s="18" t="n">
        <v>0</v>
      </c>
      <c r="P52" s="20" t="n">
        <v>0</v>
      </c>
      <c r="Q52" s="18" t="n">
        <v>3.55061471</v>
      </c>
      <c r="R52" s="20" t="n">
        <v>0.98454242</v>
      </c>
    </row>
    <row r="53" spans="1:18">
      <c r="A53" s="15" t="s">
        <v>395</v>
      </c>
      <c r="B53" s="17" t="n">
        <v>2811</v>
      </c>
      <c r="C53" s="18">
        <f>(2467.0/B53*100)</f>
        <v/>
      </c>
      <c r="D53" s="19" t="n">
        <v>344</v>
      </c>
      <c r="E53" s="18" t="n">
        <v>69.04579507</v>
      </c>
      <c r="F53" s="20" t="n">
        <v>2.36032857</v>
      </c>
      <c r="G53" s="18" t="n">
        <v>29.49949235</v>
      </c>
      <c r="H53" s="20" t="n">
        <v>2.38854255</v>
      </c>
      <c r="I53" s="18" t="s">
        <v>349</v>
      </c>
      <c r="J53" s="20" t="s">
        <v>349</v>
      </c>
      <c r="K53" s="18" t="n">
        <v>0.43058202</v>
      </c>
      <c r="L53" s="20" t="n">
        <v>0.29881639</v>
      </c>
      <c r="M53" s="18" t="n">
        <v>0</v>
      </c>
      <c r="N53" s="20" t="n">
        <v>0</v>
      </c>
      <c r="O53" s="18" t="n">
        <v>0</v>
      </c>
      <c r="P53" s="20" t="n">
        <v>0</v>
      </c>
      <c r="Q53" s="18" t="n">
        <v>1.02413055</v>
      </c>
      <c r="R53" s="20" t="n">
        <v>0.46760388</v>
      </c>
    </row>
    <row r="54" spans="1:18">
      <c r="A54" s="15" t="s">
        <v>396</v>
      </c>
      <c r="B54" s="17" t="n">
        <v>2266</v>
      </c>
      <c r="C54" s="18">
        <f>(1886.0/B54*100)</f>
        <v/>
      </c>
      <c r="D54" s="19" t="n">
        <v>380</v>
      </c>
      <c r="E54" s="18" t="n">
        <v>64.40583220000001</v>
      </c>
      <c r="F54" s="20" t="n">
        <v>2.28334896</v>
      </c>
      <c r="G54" s="18" t="n">
        <v>20.31485909</v>
      </c>
      <c r="H54" s="20" t="n">
        <v>2.14853075</v>
      </c>
      <c r="I54" s="18" t="s">
        <v>349</v>
      </c>
      <c r="J54" s="20" t="s">
        <v>349</v>
      </c>
      <c r="K54" s="18" t="n">
        <v>11.12467965</v>
      </c>
      <c r="L54" s="20" t="n">
        <v>1.75722013</v>
      </c>
      <c r="M54" s="18" t="n">
        <v>0</v>
      </c>
      <c r="N54" s="20" t="n">
        <v>0</v>
      </c>
      <c r="O54" s="18" t="n">
        <v>0</v>
      </c>
      <c r="P54" s="20" t="n">
        <v>0</v>
      </c>
      <c r="Q54" s="18" t="n">
        <v>4.15462906</v>
      </c>
      <c r="R54" s="20" t="n">
        <v>0.8958921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(2366.0/B56*100)</f>
        <v/>
      </c>
      <c r="D56" s="19" t="n">
        <v>318</v>
      </c>
      <c r="E56" s="18" t="n">
        <v>48.52564539</v>
      </c>
      <c r="F56" s="20" t="n">
        <v>3.59497894</v>
      </c>
      <c r="G56" s="18" t="n">
        <v>50.96103877</v>
      </c>
      <c r="H56" s="20" t="n">
        <v>3.58824314</v>
      </c>
      <c r="I56" s="18" t="s">
        <v>349</v>
      </c>
      <c r="J56" s="20" t="s">
        <v>349</v>
      </c>
      <c r="K56" s="18" t="n">
        <v>0</v>
      </c>
      <c r="L56" s="20" t="n">
        <v>0</v>
      </c>
      <c r="M56" s="18" t="n">
        <v>0</v>
      </c>
      <c r="N56" s="20" t="n">
        <v>0</v>
      </c>
      <c r="O56" s="18" t="n">
        <v>0</v>
      </c>
      <c r="P56" s="20" t="n">
        <v>0</v>
      </c>
      <c r="Q56" s="18" t="n">
        <v>0.51331584</v>
      </c>
      <c r="R56" s="20" t="n">
        <v>0.3688068</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(2930.0/B61*100)</f>
        <v/>
      </c>
      <c r="D61" s="19" t="n">
        <v>394</v>
      </c>
      <c r="E61" s="18" t="n">
        <v>52.50561455</v>
      </c>
      <c r="F61" s="20" t="n">
        <v>2.76113985</v>
      </c>
      <c r="G61" s="18" t="n">
        <v>42.86812403</v>
      </c>
      <c r="H61" s="20" t="n">
        <v>2.68370656</v>
      </c>
      <c r="I61" s="18" t="s">
        <v>349</v>
      </c>
      <c r="J61" s="20" t="s">
        <v>349</v>
      </c>
      <c r="K61" s="18" t="n">
        <v>0.83939221</v>
      </c>
      <c r="L61" s="20" t="n">
        <v>0.53454428</v>
      </c>
      <c r="M61" s="18" t="n">
        <v>0</v>
      </c>
      <c r="N61" s="20" t="n">
        <v>0</v>
      </c>
      <c r="O61" s="18" t="n">
        <v>0</v>
      </c>
      <c r="P61" s="20" t="n">
        <v>0</v>
      </c>
      <c r="Q61" s="18" t="n">
        <v>3.78686921</v>
      </c>
      <c r="R61" s="20" t="n">
        <v>1.02440108</v>
      </c>
    </row>
    <row r="62" spans="1:18">
      <c r="A62" s="15" t="s">
        <v>404</v>
      </c>
      <c r="B62" s="17" t="n">
        <v>2246</v>
      </c>
      <c r="C62" s="18">
        <f>(2004.0/B62*100)</f>
        <v/>
      </c>
      <c r="D62" s="19" t="n">
        <v>242</v>
      </c>
      <c r="E62" s="18" t="n">
        <v>40.0848622</v>
      </c>
      <c r="F62" s="20" t="n">
        <v>3.14604538</v>
      </c>
      <c r="G62" s="18" t="n">
        <v>59.48534581</v>
      </c>
      <c r="H62" s="20" t="n">
        <v>3.05411392</v>
      </c>
      <c r="I62" s="18" t="s">
        <v>349</v>
      </c>
      <c r="J62" s="20" t="s">
        <v>349</v>
      </c>
      <c r="K62" s="18" t="n">
        <v>0</v>
      </c>
      <c r="L62" s="20" t="n">
        <v>0</v>
      </c>
      <c r="M62" s="18" t="n">
        <v>0</v>
      </c>
      <c r="N62" s="20" t="n">
        <v>0</v>
      </c>
      <c r="O62" s="18" t="n">
        <v>0</v>
      </c>
      <c r="P62" s="20" t="n">
        <v>0</v>
      </c>
      <c r="Q62" s="18" t="n">
        <v>0.42979199</v>
      </c>
      <c r="R62" s="20" t="n">
        <v>0.60517332</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(2551.0/B66*100)</f>
        <v/>
      </c>
      <c r="D66" s="19" t="n">
        <v>343</v>
      </c>
      <c r="E66" s="18" t="n">
        <v>68.10207697</v>
      </c>
      <c r="F66" s="20" t="n">
        <v>2.38603665</v>
      </c>
      <c r="G66" s="18" t="n">
        <v>24.03230223</v>
      </c>
      <c r="H66" s="20" t="n">
        <v>2.09973283</v>
      </c>
      <c r="I66" s="18" t="s">
        <v>349</v>
      </c>
      <c r="J66" s="20" t="s">
        <v>349</v>
      </c>
      <c r="K66" s="18" t="n">
        <v>0.57004709</v>
      </c>
      <c r="L66" s="20" t="n">
        <v>0.40242252</v>
      </c>
      <c r="M66" s="18" t="n">
        <v>0</v>
      </c>
      <c r="N66" s="20" t="n">
        <v>0</v>
      </c>
      <c r="O66" s="18" t="n">
        <v>0</v>
      </c>
      <c r="P66" s="20" t="n">
        <v>0</v>
      </c>
      <c r="Q66" s="18" t="n">
        <v>7.29557372</v>
      </c>
      <c r="R66" s="20" t="n">
        <v>1.34957352</v>
      </c>
    </row>
    <row r="67" spans="1:18">
      <c r="A67" s="15" t="s">
        <v>409</v>
      </c>
      <c r="B67" s="17" t="n">
        <v>3511</v>
      </c>
      <c r="C67" s="18">
        <f>(3128.0/B67*100)</f>
        <v/>
      </c>
      <c r="D67" s="19" t="n">
        <v>383</v>
      </c>
      <c r="E67" s="18" t="n">
        <v>70.39540684000001</v>
      </c>
      <c r="F67" s="20" t="n">
        <v>2.6521028</v>
      </c>
      <c r="G67" s="18" t="n">
        <v>27.64753367</v>
      </c>
      <c r="H67" s="20" t="n">
        <v>2.69395111</v>
      </c>
      <c r="I67" s="18" t="s">
        <v>349</v>
      </c>
      <c r="J67" s="20" t="s">
        <v>349</v>
      </c>
      <c r="K67" s="18" t="n">
        <v>0</v>
      </c>
      <c r="L67" s="20" t="n">
        <v>0</v>
      </c>
      <c r="M67" s="18" t="n">
        <v>0</v>
      </c>
      <c r="N67" s="20" t="n">
        <v>0</v>
      </c>
      <c r="O67" s="18" t="n">
        <v>0</v>
      </c>
      <c r="P67" s="20" t="n">
        <v>0</v>
      </c>
      <c r="Q67" s="18" t="n">
        <v>1.95705949</v>
      </c>
      <c r="R67" s="20" t="n">
        <v>0.6775172699999999</v>
      </c>
    </row>
    <row r="68" spans="1:18">
      <c r="A68" s="15" t="s">
        <v>410</v>
      </c>
      <c r="B68" s="17" t="n">
        <v>6049</v>
      </c>
      <c r="C68" s="18">
        <f>(5064.0/B68*100)</f>
        <v/>
      </c>
      <c r="D68" s="19" t="n">
        <v>985</v>
      </c>
      <c r="E68" s="18" t="n">
        <v>68.0551646</v>
      </c>
      <c r="F68" s="20" t="n">
        <v>1.42110517</v>
      </c>
      <c r="G68" s="18" t="n">
        <v>25.94887192</v>
      </c>
      <c r="H68" s="20" t="n">
        <v>1.3514599</v>
      </c>
      <c r="I68" s="18" t="s">
        <v>349</v>
      </c>
      <c r="J68" s="20" t="s">
        <v>349</v>
      </c>
      <c r="K68" s="18" t="n">
        <v>2.83009455</v>
      </c>
      <c r="L68" s="20" t="n">
        <v>0.49220196</v>
      </c>
      <c r="M68" s="18" t="n">
        <v>0</v>
      </c>
      <c r="N68" s="20" t="n">
        <v>0</v>
      </c>
      <c r="O68" s="18" t="n">
        <v>0</v>
      </c>
      <c r="P68" s="20" t="n">
        <v>0</v>
      </c>
      <c r="Q68" s="18" t="n">
        <v>3.16586893</v>
      </c>
      <c r="R68" s="20" t="n">
        <v>0.50919011</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(2609.0/B70*100)</f>
        <v/>
      </c>
      <c r="D70" s="19" t="n">
        <v>320</v>
      </c>
      <c r="E70" s="18" t="n">
        <v>57.84178381</v>
      </c>
      <c r="F70" s="20" t="n">
        <v>3.64876574</v>
      </c>
      <c r="G70" s="18" t="n">
        <v>40.59820596</v>
      </c>
      <c r="H70" s="20" t="n">
        <v>3.64425931</v>
      </c>
      <c r="I70" s="18" t="s">
        <v>349</v>
      </c>
      <c r="J70" s="20" t="s">
        <v>349</v>
      </c>
      <c r="K70" s="18" t="n">
        <v>0.58880245</v>
      </c>
      <c r="L70" s="20" t="n">
        <v>0.33578773</v>
      </c>
      <c r="M70" s="18" t="n">
        <v>0</v>
      </c>
      <c r="N70" s="20" t="n">
        <v>0</v>
      </c>
      <c r="O70" s="18" t="n">
        <v>0</v>
      </c>
      <c r="P70" s="20" t="n">
        <v>0</v>
      </c>
      <c r="Q70" s="18" t="n">
        <v>0.97120778</v>
      </c>
      <c r="R70" s="20" t="n">
        <v>0.5718633400000001</v>
      </c>
    </row>
    <row r="71" spans="1:18">
      <c r="A71" s="15" t="s">
        <v>413</v>
      </c>
      <c r="B71" s="17" t="n">
        <v>3142</v>
      </c>
      <c r="C71" s="18">
        <f>(2750.0/B71*100)</f>
        <v/>
      </c>
      <c r="D71" s="19" t="n">
        <v>392</v>
      </c>
      <c r="E71" s="18" t="n">
        <v>41.72853836</v>
      </c>
      <c r="F71" s="20" t="n">
        <v>2.63056451</v>
      </c>
      <c r="G71" s="18" t="n">
        <v>56.53926659</v>
      </c>
      <c r="H71" s="20" t="n">
        <v>2.71961373</v>
      </c>
      <c r="I71" s="18" t="s">
        <v>349</v>
      </c>
      <c r="J71" s="20" t="s">
        <v>349</v>
      </c>
      <c r="K71" s="18" t="n">
        <v>0.7459591800000001</v>
      </c>
      <c r="L71" s="20" t="n">
        <v>0.43371385</v>
      </c>
      <c r="M71" s="18" t="n">
        <v>0</v>
      </c>
      <c r="N71" s="20" t="n">
        <v>0</v>
      </c>
      <c r="O71" s="18" t="n">
        <v>0</v>
      </c>
      <c r="P71" s="20" t="n">
        <v>0</v>
      </c>
      <c r="Q71" s="18" t="n">
        <v>0.98623587</v>
      </c>
      <c r="R71" s="20" t="n">
        <v>0.4706395</v>
      </c>
    </row>
    <row r="72" spans="1:18">
      <c r="A72" s="15" t="s">
        <v>414</v>
      </c>
      <c r="B72" s="17" t="n">
        <v>3889</v>
      </c>
      <c r="C72" s="18">
        <f>(3403.0/B72*100)</f>
        <v/>
      </c>
      <c r="D72" s="19" t="n">
        <v>486</v>
      </c>
      <c r="E72" s="18" t="n">
        <v>53.45364398</v>
      </c>
      <c r="F72" s="20" t="n">
        <v>3.13167904</v>
      </c>
      <c r="G72" s="18" t="n">
        <v>46.26884888</v>
      </c>
      <c r="H72" s="20" t="n">
        <v>3.04606418</v>
      </c>
      <c r="I72" s="18" t="s">
        <v>349</v>
      </c>
      <c r="J72" s="20" t="s">
        <v>349</v>
      </c>
      <c r="K72" s="18" t="n">
        <v>0.27750715</v>
      </c>
      <c r="L72" s="20" t="n">
        <v>0.27761389</v>
      </c>
      <c r="M72" s="18" t="n">
        <v>0</v>
      </c>
      <c r="N72" s="20" t="n">
        <v>0</v>
      </c>
      <c r="O72" s="18" t="n">
        <v>0</v>
      </c>
      <c r="P72" s="20" t="n">
        <v>0</v>
      </c>
      <c r="Q72" s="18" t="n">
        <v>0</v>
      </c>
      <c r="R72" s="20" t="n">
        <v>0</v>
      </c>
    </row>
    <row r="73" spans="1:18">
      <c r="A73" s="15" t="s">
        <v>415</v>
      </c>
      <c r="B73" s="17" t="n">
        <v>3597</v>
      </c>
      <c r="C73" s="18">
        <f>(3162.0/B73*100)</f>
        <v/>
      </c>
      <c r="D73" s="19" t="n">
        <v>435</v>
      </c>
      <c r="E73" s="18" t="n">
        <v>78.76362899</v>
      </c>
      <c r="F73" s="20" t="n">
        <v>2.76489908</v>
      </c>
      <c r="G73" s="18" t="n">
        <v>20.34019352</v>
      </c>
      <c r="H73" s="20" t="n">
        <v>2.76267023</v>
      </c>
      <c r="I73" s="18" t="s">
        <v>349</v>
      </c>
      <c r="J73" s="20" t="s">
        <v>349</v>
      </c>
      <c r="K73" s="18" t="n">
        <v>0.01023191</v>
      </c>
      <c r="L73" s="20" t="n">
        <v>0.0102939</v>
      </c>
      <c r="M73" s="18" t="n">
        <v>0</v>
      </c>
      <c r="N73" s="20" t="n">
        <v>0</v>
      </c>
      <c r="O73" s="18" t="n">
        <v>0</v>
      </c>
      <c r="P73" s="20" t="n">
        <v>0</v>
      </c>
      <c r="Q73" s="18" t="n">
        <v>0.88594558</v>
      </c>
      <c r="R73" s="20" t="n">
        <v>0.5062002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(2134.0/B75*100)</f>
        <v/>
      </c>
      <c r="D75" s="19" t="n">
        <v>272</v>
      </c>
      <c r="E75" s="18" t="n">
        <v>75.34517292</v>
      </c>
      <c r="F75" s="20" t="n">
        <v>2.60302714</v>
      </c>
      <c r="G75" s="18" t="n">
        <v>20.26565639</v>
      </c>
      <c r="H75" s="20" t="n">
        <v>2.5386937</v>
      </c>
      <c r="I75" s="18" t="s">
        <v>349</v>
      </c>
      <c r="J75" s="20" t="s">
        <v>349</v>
      </c>
      <c r="K75" s="18" t="n">
        <v>2.27884624</v>
      </c>
      <c r="L75" s="20" t="n">
        <v>0.77227553</v>
      </c>
      <c r="M75" s="18" t="n">
        <v>0</v>
      </c>
      <c r="N75" s="20" t="n">
        <v>0</v>
      </c>
      <c r="O75" s="18" t="n">
        <v>0</v>
      </c>
      <c r="P75" s="20" t="n">
        <v>0</v>
      </c>
      <c r="Q75" s="18" t="n">
        <v>2.11032445</v>
      </c>
      <c r="R75" s="20" t="n">
        <v>0.8712012099999999</v>
      </c>
    </row>
    <row r="76" spans="1:18">
      <c r="A76" s="15" t="s">
        <v>418</v>
      </c>
      <c r="B76" s="17" t="n">
        <v>7052</v>
      </c>
      <c r="C76" s="18">
        <f>(6211.0/B76*100)</f>
        <v/>
      </c>
      <c r="D76" s="19" t="n">
        <v>841</v>
      </c>
      <c r="E76" s="18" t="n">
        <v>65.61923441</v>
      </c>
      <c r="F76" s="20" t="n">
        <v>2.24890803</v>
      </c>
      <c r="G76" s="18" t="n">
        <v>31.66735262</v>
      </c>
      <c r="H76" s="20" t="n">
        <v>2.0872533</v>
      </c>
      <c r="I76" s="18" t="s">
        <v>349</v>
      </c>
      <c r="J76" s="20" t="s">
        <v>349</v>
      </c>
      <c r="K76" s="18" t="n">
        <v>1.48451019</v>
      </c>
      <c r="L76" s="20" t="n">
        <v>0.43079348</v>
      </c>
      <c r="M76" s="18" t="n">
        <v>0</v>
      </c>
      <c r="N76" s="20" t="n">
        <v>0</v>
      </c>
      <c r="O76" s="18" t="n">
        <v>0</v>
      </c>
      <c r="P76" s="20" t="n">
        <v>0</v>
      </c>
      <c r="Q76" s="18" t="n">
        <v>1.22890277</v>
      </c>
      <c r="R76" s="20" t="n">
        <v>0.47305016</v>
      </c>
    </row>
    <row r="77" spans="1:18">
      <c r="A77" s="15" t="s">
        <v>419</v>
      </c>
      <c r="B77" s="17" t="n">
        <v>2908</v>
      </c>
      <c r="C77" s="18">
        <f>(2540.0/B77*100)</f>
        <v/>
      </c>
      <c r="D77" s="19" t="n">
        <v>368</v>
      </c>
      <c r="E77" s="18" t="n">
        <v>62.15583344</v>
      </c>
      <c r="F77" s="20" t="n">
        <v>2.67710586</v>
      </c>
      <c r="G77" s="18" t="n">
        <v>30.47642884</v>
      </c>
      <c r="H77" s="20" t="n">
        <v>2.40466836</v>
      </c>
      <c r="I77" s="18" t="s">
        <v>349</v>
      </c>
      <c r="J77" s="20" t="s">
        <v>349</v>
      </c>
      <c r="K77" s="18" t="n">
        <v>1.44669205</v>
      </c>
      <c r="L77" s="20" t="n">
        <v>0.68823053</v>
      </c>
      <c r="M77" s="18" t="n">
        <v>0</v>
      </c>
      <c r="N77" s="20" t="n">
        <v>0</v>
      </c>
      <c r="O77" s="18" t="n">
        <v>0</v>
      </c>
      <c r="P77" s="20" t="n">
        <v>0</v>
      </c>
      <c r="Q77" s="18" t="n">
        <v>5.92104567</v>
      </c>
      <c r="R77" s="20" t="n">
        <v>1.09454598</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(3656.0/B81*100)</f>
        <v/>
      </c>
      <c r="D81" s="19" t="n">
        <v>507</v>
      </c>
      <c r="E81" s="18" t="n">
        <v>71.80491533</v>
      </c>
      <c r="F81" s="20" t="n">
        <v>2.76269093</v>
      </c>
      <c r="G81" s="18" t="n">
        <v>27.05084263</v>
      </c>
      <c r="H81" s="20" t="n">
        <v>2.71850186</v>
      </c>
      <c r="I81" s="18" t="s">
        <v>349</v>
      </c>
      <c r="J81" s="20" t="s">
        <v>349</v>
      </c>
      <c r="K81" s="18" t="n">
        <v>0.61588465</v>
      </c>
      <c r="L81" s="20" t="n">
        <v>0.77778607</v>
      </c>
      <c r="M81" s="18" t="n">
        <v>0</v>
      </c>
      <c r="N81" s="20" t="n">
        <v>0</v>
      </c>
      <c r="O81" s="18" t="n">
        <v>0</v>
      </c>
      <c r="P81" s="20" t="n">
        <v>0</v>
      </c>
      <c r="Q81" s="18" t="n">
        <v>0.52835739</v>
      </c>
      <c r="R81" s="20" t="n">
        <v>0.36894769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(6493.0/B7*100)</f>
        <v/>
      </c>
      <c r="D7" s="19" t="n">
        <v>874</v>
      </c>
      <c r="E7" s="18" t="n">
        <v>56.49962567</v>
      </c>
      <c r="F7" s="20" t="n">
        <v>1.84920418</v>
      </c>
      <c r="G7" s="18" t="n">
        <v>42.33336662</v>
      </c>
      <c r="H7" s="20" t="n">
        <v>1.83553889</v>
      </c>
      <c r="I7" s="18" t="s">
        <v>349</v>
      </c>
      <c r="J7" s="20" t="s">
        <v>349</v>
      </c>
      <c r="K7" s="18" t="n">
        <v>0.7863321599999999</v>
      </c>
      <c r="L7" s="20" t="n">
        <v>0.30605195</v>
      </c>
      <c r="M7" s="18" t="n">
        <v>0</v>
      </c>
      <c r="N7" s="20" t="n">
        <v>0</v>
      </c>
      <c r="O7" s="18" t="n">
        <v>0</v>
      </c>
      <c r="P7" s="20" t="n">
        <v>0</v>
      </c>
      <c r="Q7" s="18" t="n">
        <v>0.38067556</v>
      </c>
      <c r="R7" s="20" t="n">
        <v>0.21362721</v>
      </c>
    </row>
    <row r="8" spans="1:18">
      <c r="A8" s="15" t="s">
        <v>350</v>
      </c>
      <c r="B8" s="17" t="n">
        <v>3564</v>
      </c>
      <c r="C8" s="18">
        <f>(3127.0/B8*100)</f>
        <v/>
      </c>
      <c r="D8" s="19" t="n">
        <v>437</v>
      </c>
      <c r="E8" s="18" t="n">
        <v>43.83970203</v>
      </c>
      <c r="F8" s="20" t="n">
        <v>2.56052556</v>
      </c>
      <c r="G8" s="18" t="n">
        <v>54.98505593</v>
      </c>
      <c r="H8" s="20" t="n">
        <v>2.67686817</v>
      </c>
      <c r="I8" s="18" t="s">
        <v>349</v>
      </c>
      <c r="J8" s="20" t="s">
        <v>349</v>
      </c>
      <c r="K8" s="18" t="n">
        <v>1.09214561</v>
      </c>
      <c r="L8" s="20" t="n">
        <v>0.5905224100000001</v>
      </c>
      <c r="M8" s="18" t="n">
        <v>0</v>
      </c>
      <c r="N8" s="20" t="n">
        <v>0</v>
      </c>
      <c r="O8" s="18" t="n">
        <v>0</v>
      </c>
      <c r="P8" s="20" t="n">
        <v>0</v>
      </c>
      <c r="Q8" s="18" t="n">
        <v>0.08309643999999999</v>
      </c>
      <c r="R8" s="20" t="n">
        <v>0.08778436000000001</v>
      </c>
    </row>
    <row r="9" spans="1:18">
      <c r="A9" s="15" t="s">
        <v>351</v>
      </c>
      <c r="B9" s="17" t="n">
        <v>4899</v>
      </c>
      <c r="C9" s="18">
        <f>(4313.0/B9*100)</f>
        <v/>
      </c>
      <c r="D9" s="19" t="n">
        <v>586</v>
      </c>
      <c r="E9" s="18" t="n">
        <v>42.75099676</v>
      </c>
      <c r="F9" s="20" t="n">
        <v>2.36490206</v>
      </c>
      <c r="G9" s="18" t="n">
        <v>55.72539953</v>
      </c>
      <c r="H9" s="20" t="n">
        <v>2.37192262</v>
      </c>
      <c r="I9" s="18" t="s">
        <v>349</v>
      </c>
      <c r="J9" s="20" t="s">
        <v>349</v>
      </c>
      <c r="K9" s="18" t="n">
        <v>0.94923959</v>
      </c>
      <c r="L9" s="20" t="n">
        <v>0.5192214000000001</v>
      </c>
      <c r="M9" s="18" t="n">
        <v>0</v>
      </c>
      <c r="N9" s="20" t="n">
        <v>0</v>
      </c>
      <c r="O9" s="18" t="n">
        <v>0</v>
      </c>
      <c r="P9" s="20" t="n">
        <v>0</v>
      </c>
      <c r="Q9" s="18" t="n">
        <v>0.57436412</v>
      </c>
      <c r="R9" s="20" t="n">
        <v>0.35827514</v>
      </c>
    </row>
    <row r="10" spans="1:18">
      <c r="A10" s="15" t="s">
        <v>352</v>
      </c>
      <c r="B10" s="17" t="n">
        <v>10036</v>
      </c>
      <c r="C10" s="18">
        <f>(8803.0/B10*100)</f>
        <v/>
      </c>
      <c r="D10" s="19" t="n">
        <v>1233</v>
      </c>
      <c r="E10" s="18" t="n">
        <v>49.54881545</v>
      </c>
      <c r="F10" s="20" t="n">
        <v>2.09529062</v>
      </c>
      <c r="G10" s="18" t="n">
        <v>49.0786516</v>
      </c>
      <c r="H10" s="20" t="n">
        <v>1.99885091</v>
      </c>
      <c r="I10" s="18" t="s">
        <v>349</v>
      </c>
      <c r="J10" s="20" t="s">
        <v>349</v>
      </c>
      <c r="K10" s="18" t="n">
        <v>1.14947506</v>
      </c>
      <c r="L10" s="20" t="n">
        <v>0.56597113</v>
      </c>
      <c r="M10" s="18" t="n">
        <v>0</v>
      </c>
      <c r="N10" s="20" t="n">
        <v>0</v>
      </c>
      <c r="O10" s="18" t="n">
        <v>0</v>
      </c>
      <c r="P10" s="20" t="n">
        <v>0</v>
      </c>
      <c r="Q10" s="18" t="n">
        <v>0.22305788</v>
      </c>
      <c r="R10" s="20" t="n">
        <v>0.12836417</v>
      </c>
    </row>
    <row r="11" spans="1:18">
      <c r="A11" s="15" t="s">
        <v>353</v>
      </c>
      <c r="B11" s="17" t="n">
        <v>3553</v>
      </c>
      <c r="C11" s="18">
        <f>(3133.0/B11*100)</f>
        <v/>
      </c>
      <c r="D11" s="19" t="n">
        <v>420</v>
      </c>
      <c r="E11" s="18" t="n">
        <v>64.99932534</v>
      </c>
      <c r="F11" s="20" t="n">
        <v>3.06596899</v>
      </c>
      <c r="G11" s="18" t="n">
        <v>33.97201517</v>
      </c>
      <c r="H11" s="20" t="n">
        <v>3.08504994</v>
      </c>
      <c r="I11" s="18" t="s">
        <v>349</v>
      </c>
      <c r="J11" s="20" t="s">
        <v>349</v>
      </c>
      <c r="K11" s="18" t="n">
        <v>1.02865949</v>
      </c>
      <c r="L11" s="20" t="n">
        <v>0.46243502</v>
      </c>
      <c r="M11" s="18" t="n">
        <v>0</v>
      </c>
      <c r="N11" s="20" t="n">
        <v>0</v>
      </c>
      <c r="O11" s="18" t="n">
        <v>0</v>
      </c>
      <c r="P11" s="20" t="n">
        <v>0</v>
      </c>
      <c r="Q11" s="18" t="n">
        <v>0</v>
      </c>
      <c r="R11" s="20" t="n">
        <v>0</v>
      </c>
    </row>
    <row r="12" spans="1:18">
      <c r="A12" s="15" t="s">
        <v>354</v>
      </c>
      <c r="B12" s="17" t="n">
        <v>3472</v>
      </c>
      <c r="C12" s="18">
        <f>(3075.0/B12*100)</f>
        <v/>
      </c>
      <c r="D12" s="19" t="n">
        <v>397</v>
      </c>
      <c r="E12" s="18" t="n">
        <v>45.67701612</v>
      </c>
      <c r="F12" s="20" t="n">
        <v>2.83129114</v>
      </c>
      <c r="G12" s="18" t="n">
        <v>53.32781569</v>
      </c>
      <c r="H12" s="20" t="n">
        <v>2.75379409</v>
      </c>
      <c r="I12" s="18" t="s">
        <v>349</v>
      </c>
      <c r="J12" s="20" t="s">
        <v>349</v>
      </c>
      <c r="K12" s="18" t="n">
        <v>0.36986239</v>
      </c>
      <c r="L12" s="20" t="n">
        <v>0.26995926</v>
      </c>
      <c r="M12" s="18" t="n">
        <v>0</v>
      </c>
      <c r="N12" s="20" t="n">
        <v>0</v>
      </c>
      <c r="O12" s="18" t="n">
        <v>0</v>
      </c>
      <c r="P12" s="20" t="n">
        <v>0</v>
      </c>
      <c r="Q12" s="18" t="n">
        <v>0.6253058</v>
      </c>
      <c r="R12" s="20" t="n">
        <v>0.39937184</v>
      </c>
    </row>
    <row r="13" spans="1:18">
      <c r="A13" s="15" t="s">
        <v>355</v>
      </c>
      <c r="B13" s="17" t="n">
        <v>3559</v>
      </c>
      <c r="C13" s="18">
        <f>(3163.0/B13*100)</f>
        <v/>
      </c>
      <c r="D13" s="19" t="n">
        <v>396</v>
      </c>
      <c r="E13" s="18" t="n">
        <v>49.71950518</v>
      </c>
      <c r="F13" s="20" t="n">
        <v>3.20218462</v>
      </c>
      <c r="G13" s="18" t="n">
        <v>48.86285049</v>
      </c>
      <c r="H13" s="20" t="n">
        <v>3.2981302</v>
      </c>
      <c r="I13" s="18" t="s">
        <v>349</v>
      </c>
      <c r="J13" s="20" t="s">
        <v>349</v>
      </c>
      <c r="K13" s="18" t="n">
        <v>1.41764432</v>
      </c>
      <c r="L13" s="20" t="n">
        <v>0.64199167</v>
      </c>
      <c r="M13" s="18" t="n">
        <v>0</v>
      </c>
      <c r="N13" s="20" t="n">
        <v>0</v>
      </c>
      <c r="O13" s="18" t="n">
        <v>0</v>
      </c>
      <c r="P13" s="20" t="n">
        <v>0</v>
      </c>
      <c r="Q13" s="18" t="n">
        <v>0</v>
      </c>
      <c r="R13" s="20" t="n">
        <v>0</v>
      </c>
    </row>
    <row r="14" spans="1:18">
      <c r="A14" s="15" t="s">
        <v>356</v>
      </c>
      <c r="B14" s="17" t="n">
        <v>2799</v>
      </c>
      <c r="C14" s="18">
        <f>(2455.0/B14*100)</f>
        <v/>
      </c>
      <c r="D14" s="19" t="n">
        <v>344</v>
      </c>
      <c r="E14" s="18" t="n">
        <v>50.87807084</v>
      </c>
      <c r="F14" s="20" t="n">
        <v>3.14012405</v>
      </c>
      <c r="G14" s="18" t="n">
        <v>48.88917443</v>
      </c>
      <c r="H14" s="20" t="n">
        <v>3.18007412</v>
      </c>
      <c r="I14" s="18" t="s">
        <v>349</v>
      </c>
      <c r="J14" s="20" t="s">
        <v>349</v>
      </c>
      <c r="K14" s="18" t="n">
        <v>0.23275473</v>
      </c>
      <c r="L14" s="20" t="n">
        <v>0.23348322</v>
      </c>
      <c r="M14" s="18" t="n">
        <v>0</v>
      </c>
      <c r="N14" s="20" t="n">
        <v>0</v>
      </c>
      <c r="O14" s="18" t="n">
        <v>0</v>
      </c>
      <c r="P14" s="20" t="n">
        <v>0</v>
      </c>
      <c r="Q14" s="18" t="n">
        <v>0</v>
      </c>
      <c r="R14" s="20" t="n">
        <v>0</v>
      </c>
    </row>
    <row r="15" spans="1:18">
      <c r="A15" s="15" t="s">
        <v>357</v>
      </c>
      <c r="B15" s="17" t="n">
        <v>3019</v>
      </c>
      <c r="C15" s="18">
        <f>(2649.0/B15*100)</f>
        <v/>
      </c>
      <c r="D15" s="19" t="n">
        <v>370</v>
      </c>
      <c r="E15" s="18" t="n">
        <v>58.34600123</v>
      </c>
      <c r="F15" s="20" t="n">
        <v>2.34647926</v>
      </c>
      <c r="G15" s="18" t="n">
        <v>41.11351042</v>
      </c>
      <c r="H15" s="20" t="n">
        <v>2.37421654</v>
      </c>
      <c r="I15" s="18" t="s">
        <v>349</v>
      </c>
      <c r="J15" s="20" t="s">
        <v>349</v>
      </c>
      <c r="K15" s="18" t="n">
        <v>0.26869023</v>
      </c>
      <c r="L15" s="20" t="n">
        <v>0.27044059</v>
      </c>
      <c r="M15" s="18" t="n">
        <v>0</v>
      </c>
      <c r="N15" s="20" t="n">
        <v>0</v>
      </c>
      <c r="O15" s="18" t="n">
        <v>0</v>
      </c>
      <c r="P15" s="20" t="n">
        <v>0</v>
      </c>
      <c r="Q15" s="18" t="n">
        <v>0.27179812</v>
      </c>
      <c r="R15" s="20" t="n">
        <v>0.26130203</v>
      </c>
    </row>
    <row r="16" spans="1:18">
      <c r="A16" s="15" t="s">
        <v>358</v>
      </c>
      <c r="B16" s="17" t="n">
        <v>2997</v>
      </c>
      <c r="C16" s="18">
        <f>(2623.0/B16*100)</f>
        <v/>
      </c>
      <c r="D16" s="19" t="n">
        <v>374</v>
      </c>
      <c r="E16" s="18" t="n">
        <v>53.10880288</v>
      </c>
      <c r="F16" s="20" t="n">
        <v>2.53097451</v>
      </c>
      <c r="G16" s="18" t="n">
        <v>45.59569374</v>
      </c>
      <c r="H16" s="20" t="n">
        <v>2.43113962</v>
      </c>
      <c r="I16" s="18" t="s">
        <v>349</v>
      </c>
      <c r="J16" s="20" t="s">
        <v>349</v>
      </c>
      <c r="K16" s="18" t="n">
        <v>1.29550337</v>
      </c>
      <c r="L16" s="20" t="n">
        <v>0.56082166</v>
      </c>
      <c r="M16" s="18" t="n">
        <v>0</v>
      </c>
      <c r="N16" s="20" t="n">
        <v>0</v>
      </c>
      <c r="O16" s="18" t="n">
        <v>0</v>
      </c>
      <c r="P16" s="20" t="n">
        <v>0</v>
      </c>
      <c r="Q16" s="18" t="n">
        <v>0</v>
      </c>
      <c r="R16" s="20" t="n">
        <v>0</v>
      </c>
    </row>
    <row r="17" spans="1:18">
      <c r="A17" s="15" t="s">
        <v>359</v>
      </c>
      <c r="B17" s="17" t="n">
        <v>3307</v>
      </c>
      <c r="C17" s="18">
        <f>(2924.0/B17*100)</f>
        <v/>
      </c>
      <c r="D17" s="19" t="n">
        <v>383</v>
      </c>
      <c r="E17" s="18" t="n">
        <v>46.59532026</v>
      </c>
      <c r="F17" s="20" t="n">
        <v>2.80195773</v>
      </c>
      <c r="G17" s="18" t="n">
        <v>52.54079327</v>
      </c>
      <c r="H17" s="20" t="n">
        <v>2.76026924</v>
      </c>
      <c r="I17" s="18" t="s">
        <v>349</v>
      </c>
      <c r="J17" s="20" t="s">
        <v>349</v>
      </c>
      <c r="K17" s="18" t="n">
        <v>0.86388647</v>
      </c>
      <c r="L17" s="20" t="n">
        <v>0.5324936300000001</v>
      </c>
      <c r="M17" s="18" t="n">
        <v>0</v>
      </c>
      <c r="N17" s="20" t="n">
        <v>0</v>
      </c>
      <c r="O17" s="18" t="n">
        <v>0</v>
      </c>
      <c r="P17" s="20" t="n">
        <v>0</v>
      </c>
      <c r="Q17" s="18" t="n">
        <v>0</v>
      </c>
      <c r="R17" s="20" t="n">
        <v>0</v>
      </c>
    </row>
    <row r="18" spans="1:18">
      <c r="A18" s="15" t="s">
        <v>360</v>
      </c>
      <c r="B18" s="17" t="n">
        <v>2826</v>
      </c>
      <c r="C18" s="18">
        <f>(2501.0/B18*100)</f>
        <v/>
      </c>
      <c r="D18" s="19" t="n">
        <v>325</v>
      </c>
      <c r="E18" s="18" t="n">
        <v>58.476883</v>
      </c>
      <c r="F18" s="20" t="n">
        <v>2.74707574</v>
      </c>
      <c r="G18" s="18" t="n">
        <v>40.27061515</v>
      </c>
      <c r="H18" s="20" t="n">
        <v>2.87663437</v>
      </c>
      <c r="I18" s="18" t="s">
        <v>349</v>
      </c>
      <c r="J18" s="20" t="s">
        <v>349</v>
      </c>
      <c r="K18" s="18" t="n">
        <v>0.32648971</v>
      </c>
      <c r="L18" s="20" t="n">
        <v>0.33497355</v>
      </c>
      <c r="M18" s="18" t="n">
        <v>0</v>
      </c>
      <c r="N18" s="20" t="n">
        <v>0</v>
      </c>
      <c r="O18" s="18" t="n">
        <v>0</v>
      </c>
      <c r="P18" s="20" t="n">
        <v>0</v>
      </c>
      <c r="Q18" s="18" t="n">
        <v>0.92601214</v>
      </c>
      <c r="R18" s="20" t="n">
        <v>0.66520073</v>
      </c>
    </row>
    <row r="19" spans="1:18">
      <c r="A19" s="15" t="s">
        <v>361</v>
      </c>
      <c r="B19" s="17" t="n">
        <v>2808</v>
      </c>
      <c r="C19" s="18">
        <f>(2469.0/B19*100)</f>
        <v/>
      </c>
      <c r="D19" s="19" t="n">
        <v>339</v>
      </c>
      <c r="E19" s="18" t="n">
        <v>53.73778448</v>
      </c>
      <c r="F19" s="20" t="n">
        <v>3.11140482</v>
      </c>
      <c r="G19" s="18" t="n">
        <v>44.96515021</v>
      </c>
      <c r="H19" s="20" t="n">
        <v>3.0275424</v>
      </c>
      <c r="I19" s="18" t="s">
        <v>349</v>
      </c>
      <c r="J19" s="20" t="s">
        <v>349</v>
      </c>
      <c r="K19" s="18" t="n">
        <v>0</v>
      </c>
      <c r="L19" s="20" t="n">
        <v>0</v>
      </c>
      <c r="M19" s="18" t="n">
        <v>0</v>
      </c>
      <c r="N19" s="20" t="n">
        <v>0</v>
      </c>
      <c r="O19" s="18" t="n">
        <v>0</v>
      </c>
      <c r="P19" s="20" t="n">
        <v>0</v>
      </c>
      <c r="Q19" s="18" t="n">
        <v>1.2970653</v>
      </c>
      <c r="R19" s="20" t="n">
        <v>0.83985833</v>
      </c>
    </row>
    <row r="20" spans="1:18">
      <c r="A20" s="15" t="s">
        <v>362</v>
      </c>
      <c r="B20" s="17" t="n">
        <v>1630</v>
      </c>
      <c r="C20" s="18">
        <f>(1430.0/B20*100)</f>
        <v/>
      </c>
      <c r="D20" s="19" t="n">
        <v>200</v>
      </c>
      <c r="E20" s="18" t="n">
        <v>60.68441147</v>
      </c>
      <c r="F20" s="20" t="n">
        <v>3.46776764</v>
      </c>
      <c r="G20" s="18" t="n">
        <v>38.31893722</v>
      </c>
      <c r="H20" s="20" t="n">
        <v>3.50311211</v>
      </c>
      <c r="I20" s="18" t="s">
        <v>349</v>
      </c>
      <c r="J20" s="20" t="s">
        <v>349</v>
      </c>
      <c r="K20" s="18" t="n">
        <v>0.47022099</v>
      </c>
      <c r="L20" s="20" t="n">
        <v>0.47054523</v>
      </c>
      <c r="M20" s="18" t="n">
        <v>0</v>
      </c>
      <c r="N20" s="20" t="n">
        <v>0</v>
      </c>
      <c r="O20" s="18" t="n">
        <v>0</v>
      </c>
      <c r="P20" s="20" t="n">
        <v>0</v>
      </c>
      <c r="Q20" s="18" t="n">
        <v>0.52643032</v>
      </c>
      <c r="R20" s="20" t="n">
        <v>0.38912604</v>
      </c>
    </row>
    <row r="21" spans="1:18">
      <c r="A21" s="15" t="s">
        <v>363</v>
      </c>
      <c r="B21" s="17" t="n">
        <v>2908</v>
      </c>
      <c r="C21" s="18">
        <f>(2441.0/B21*100)</f>
        <v/>
      </c>
      <c r="D21" s="19" t="n">
        <v>467</v>
      </c>
      <c r="E21" s="18" t="n">
        <v>62.87200042</v>
      </c>
      <c r="F21" s="20" t="n">
        <v>2.20462891</v>
      </c>
      <c r="G21" s="18" t="n">
        <v>36.91451459</v>
      </c>
      <c r="H21" s="20" t="n">
        <v>2.17929674</v>
      </c>
      <c r="I21" s="18" t="s">
        <v>349</v>
      </c>
      <c r="J21" s="20" t="s">
        <v>349</v>
      </c>
      <c r="K21" s="18" t="n">
        <v>0.213485</v>
      </c>
      <c r="L21" s="20" t="n">
        <v>0.3159502</v>
      </c>
      <c r="M21" s="18" t="n">
        <v>0</v>
      </c>
      <c r="N21" s="20" t="n">
        <v>0</v>
      </c>
      <c r="O21" s="18" t="n">
        <v>0</v>
      </c>
      <c r="P21" s="20" t="n">
        <v>0</v>
      </c>
      <c r="Q21" s="18" t="n">
        <v>0</v>
      </c>
      <c r="R21" s="20" t="n">
        <v>0</v>
      </c>
    </row>
    <row r="22" spans="1:18">
      <c r="A22" s="15" t="s">
        <v>364</v>
      </c>
      <c r="B22" s="17" t="n">
        <v>2931</v>
      </c>
      <c r="C22" s="18">
        <f>(2557.0/B22*100)</f>
        <v/>
      </c>
      <c r="D22" s="19" t="n">
        <v>374</v>
      </c>
      <c r="E22" s="18" t="n">
        <v>49.18300018</v>
      </c>
      <c r="F22" s="20" t="n">
        <v>3.2424107</v>
      </c>
      <c r="G22" s="18" t="n">
        <v>48.78895027</v>
      </c>
      <c r="H22" s="20" t="n">
        <v>3.11284211</v>
      </c>
      <c r="I22" s="18" t="s">
        <v>349</v>
      </c>
      <c r="J22" s="20" t="s">
        <v>349</v>
      </c>
      <c r="K22" s="18" t="n">
        <v>0.8183810500000001</v>
      </c>
      <c r="L22" s="20" t="n">
        <v>0.51972155</v>
      </c>
      <c r="M22" s="18" t="n">
        <v>0</v>
      </c>
      <c r="N22" s="20" t="n">
        <v>0</v>
      </c>
      <c r="O22" s="18" t="n">
        <v>0</v>
      </c>
      <c r="P22" s="20" t="n">
        <v>0</v>
      </c>
      <c r="Q22" s="18" t="n">
        <v>1.2096685</v>
      </c>
      <c r="R22" s="20" t="n">
        <v>0.70496101</v>
      </c>
    </row>
    <row r="23" spans="1:18">
      <c r="A23" s="15" t="s">
        <v>365</v>
      </c>
      <c r="B23" s="17" t="n">
        <v>5791</v>
      </c>
      <c r="C23" s="18">
        <f>(5101.0/B23*100)</f>
        <v/>
      </c>
      <c r="D23" s="19" t="n">
        <v>690</v>
      </c>
      <c r="E23" s="18" t="n">
        <v>52.99102995</v>
      </c>
      <c r="F23" s="20" t="n">
        <v>2.37826246</v>
      </c>
      <c r="G23" s="18" t="n">
        <v>46.48909685</v>
      </c>
      <c r="H23" s="20" t="n">
        <v>2.33413459</v>
      </c>
      <c r="I23" s="18" t="s">
        <v>349</v>
      </c>
      <c r="J23" s="20" t="s">
        <v>349</v>
      </c>
      <c r="K23" s="18" t="n">
        <v>0.36229306</v>
      </c>
      <c r="L23" s="20" t="n">
        <v>0.3539432</v>
      </c>
      <c r="M23" s="18" t="n">
        <v>0</v>
      </c>
      <c r="N23" s="20" t="n">
        <v>0</v>
      </c>
      <c r="O23" s="18" t="n">
        <v>0</v>
      </c>
      <c r="P23" s="20" t="n">
        <v>0</v>
      </c>
      <c r="Q23" s="18" t="n">
        <v>0.15758014</v>
      </c>
      <c r="R23" s="20" t="n">
        <v>0.11225972</v>
      </c>
    </row>
    <row r="24" spans="1:18">
      <c r="A24" s="15" t="s">
        <v>366</v>
      </c>
      <c r="B24" s="17" t="n">
        <v>3338</v>
      </c>
      <c r="C24" s="18">
        <f>(2917.0/B24*100)</f>
        <v/>
      </c>
      <c r="D24" s="19" t="n">
        <v>421</v>
      </c>
      <c r="E24" s="18" t="n">
        <v>48.78475341</v>
      </c>
      <c r="F24" s="20" t="n">
        <v>2.30006283</v>
      </c>
      <c r="G24" s="18" t="n">
        <v>50.99635135</v>
      </c>
      <c r="H24" s="20" t="n">
        <v>2.28820366</v>
      </c>
      <c r="I24" s="18" t="s">
        <v>349</v>
      </c>
      <c r="J24" s="20" t="s">
        <v>349</v>
      </c>
      <c r="K24" s="18" t="n">
        <v>0.21889524</v>
      </c>
      <c r="L24" s="20" t="n">
        <v>0.22074636</v>
      </c>
      <c r="M24" s="18" t="n">
        <v>0</v>
      </c>
      <c r="N24" s="20" t="n">
        <v>0</v>
      </c>
      <c r="O24" s="18" t="n">
        <v>0</v>
      </c>
      <c r="P24" s="20" t="n">
        <v>0</v>
      </c>
      <c r="Q24" s="18" t="n">
        <v>0</v>
      </c>
      <c r="R24" s="20" t="n">
        <v>0</v>
      </c>
    </row>
    <row r="25" spans="1:18">
      <c r="A25" s="15" t="s">
        <v>367</v>
      </c>
      <c r="B25" s="17" t="n">
        <v>2912</v>
      </c>
      <c r="C25" s="18">
        <f>(2564.0/B25*100)</f>
        <v/>
      </c>
      <c r="D25" s="19" t="n">
        <v>348</v>
      </c>
      <c r="E25" s="18" t="n">
        <v>35.06133913</v>
      </c>
      <c r="F25" s="20" t="n">
        <v>2.88573263</v>
      </c>
      <c r="G25" s="18" t="n">
        <v>64.93866087000001</v>
      </c>
      <c r="H25" s="20" t="n">
        <v>2.88573263</v>
      </c>
      <c r="I25" s="18" t="s">
        <v>349</v>
      </c>
      <c r="J25" s="20" t="s">
        <v>349</v>
      </c>
      <c r="K25" s="18" t="n">
        <v>0</v>
      </c>
      <c r="L25" s="20" t="n">
        <v>0</v>
      </c>
      <c r="M25" s="18" t="n">
        <v>0</v>
      </c>
      <c r="N25" s="20" t="n">
        <v>0</v>
      </c>
      <c r="O25" s="18" t="n">
        <v>0</v>
      </c>
      <c r="P25" s="20" t="n">
        <v>0</v>
      </c>
      <c r="Q25" s="18" t="n">
        <v>0</v>
      </c>
      <c r="R25" s="20" t="n">
        <v>0</v>
      </c>
    </row>
    <row r="26" spans="1:18">
      <c r="A26" s="15" t="s">
        <v>368</v>
      </c>
      <c r="B26" s="17" t="n">
        <v>2450</v>
      </c>
      <c r="C26" s="18">
        <f>(2164.0/B26*100)</f>
        <v/>
      </c>
      <c r="D26" s="19" t="n">
        <v>286</v>
      </c>
      <c r="E26" s="18" t="n">
        <v>54.89884296</v>
      </c>
      <c r="F26" s="20" t="n">
        <v>3.28143891</v>
      </c>
      <c r="G26" s="18" t="n">
        <v>44.76944632</v>
      </c>
      <c r="H26" s="20" t="n">
        <v>3.2494079</v>
      </c>
      <c r="I26" s="18" t="s">
        <v>349</v>
      </c>
      <c r="J26" s="20" t="s">
        <v>349</v>
      </c>
      <c r="K26" s="18" t="n">
        <v>0.33171072</v>
      </c>
      <c r="L26" s="20" t="n">
        <v>0.32168934</v>
      </c>
      <c r="M26" s="18" t="n">
        <v>0</v>
      </c>
      <c r="N26" s="20" t="n">
        <v>0</v>
      </c>
      <c r="O26" s="18" t="n">
        <v>0</v>
      </c>
      <c r="P26" s="20" t="n">
        <v>0</v>
      </c>
      <c r="Q26" s="18" t="n">
        <v>0</v>
      </c>
      <c r="R26" s="20" t="n">
        <v>0</v>
      </c>
    </row>
    <row r="27" spans="1:18">
      <c r="A27" s="15" t="s">
        <v>369</v>
      </c>
      <c r="B27" s="17" t="n">
        <v>2616</v>
      </c>
      <c r="C27" s="18">
        <f>(2293.0/B27*100)</f>
        <v/>
      </c>
      <c r="D27" s="19" t="n">
        <v>323</v>
      </c>
      <c r="E27" s="18" t="n">
        <v>51.29526763</v>
      </c>
      <c r="F27" s="20" t="n">
        <v>3.16652865</v>
      </c>
      <c r="G27" s="18" t="n">
        <v>46.83457764</v>
      </c>
      <c r="H27" s="20" t="n">
        <v>3.27854481</v>
      </c>
      <c r="I27" s="18" t="s">
        <v>349</v>
      </c>
      <c r="J27" s="20" t="s">
        <v>349</v>
      </c>
      <c r="K27" s="18" t="n">
        <v>1.55438187</v>
      </c>
      <c r="L27" s="20" t="n">
        <v>0.69864841</v>
      </c>
      <c r="M27" s="18" t="n">
        <v>0</v>
      </c>
      <c r="N27" s="20" t="n">
        <v>0</v>
      </c>
      <c r="O27" s="18" t="n">
        <v>0</v>
      </c>
      <c r="P27" s="20" t="n">
        <v>0</v>
      </c>
      <c r="Q27" s="18" t="n">
        <v>0.31577287</v>
      </c>
      <c r="R27" s="20" t="n">
        <v>0.31782921</v>
      </c>
    </row>
    <row r="28" spans="1:18">
      <c r="A28" s="15" t="s">
        <v>370</v>
      </c>
      <c r="B28" s="17" t="n">
        <v>3765</v>
      </c>
      <c r="C28" s="18">
        <f>(3375.0/B28*100)</f>
        <v/>
      </c>
      <c r="D28" s="19" t="n">
        <v>390</v>
      </c>
      <c r="E28" s="18" t="n">
        <v>66.38135077</v>
      </c>
      <c r="F28" s="20" t="n">
        <v>2.50102369</v>
      </c>
      <c r="G28" s="18" t="n">
        <v>31.99025776</v>
      </c>
      <c r="H28" s="20" t="n">
        <v>2.49507796</v>
      </c>
      <c r="I28" s="18" t="s">
        <v>349</v>
      </c>
      <c r="J28" s="20" t="s">
        <v>349</v>
      </c>
      <c r="K28" s="18" t="n">
        <v>0.79047232</v>
      </c>
      <c r="L28" s="20" t="n">
        <v>0.5785641</v>
      </c>
      <c r="M28" s="18" t="n">
        <v>0</v>
      </c>
      <c r="N28" s="20" t="n">
        <v>0</v>
      </c>
      <c r="O28" s="18" t="n">
        <v>0</v>
      </c>
      <c r="P28" s="20" t="n">
        <v>0</v>
      </c>
      <c r="Q28" s="18" t="n">
        <v>0.8379191499999999</v>
      </c>
      <c r="R28" s="20" t="n">
        <v>0.5353434</v>
      </c>
    </row>
    <row r="29" spans="1:18">
      <c r="A29" s="15" t="s">
        <v>371</v>
      </c>
      <c r="B29" s="17" t="n">
        <v>2685</v>
      </c>
      <c r="C29" s="18">
        <f>(2388.0/B29*100)</f>
        <v/>
      </c>
      <c r="D29" s="19" t="n">
        <v>297</v>
      </c>
      <c r="E29" s="18" t="n">
        <v>37.79119052</v>
      </c>
      <c r="F29" s="20" t="n">
        <v>3.24077722</v>
      </c>
      <c r="G29" s="18" t="n">
        <v>61.43267265</v>
      </c>
      <c r="H29" s="20" t="n">
        <v>3.27713873</v>
      </c>
      <c r="I29" s="18" t="s">
        <v>349</v>
      </c>
      <c r="J29" s="20" t="s">
        <v>349</v>
      </c>
      <c r="K29" s="18" t="n">
        <v>0.34441581</v>
      </c>
      <c r="L29" s="20" t="n">
        <v>0.34410205</v>
      </c>
      <c r="M29" s="18" t="n">
        <v>0</v>
      </c>
      <c r="N29" s="20" t="n">
        <v>0</v>
      </c>
      <c r="O29" s="18" t="n">
        <v>0</v>
      </c>
      <c r="P29" s="20" t="n">
        <v>0</v>
      </c>
      <c r="Q29" s="18" t="n">
        <v>0.43172102</v>
      </c>
      <c r="R29" s="20" t="n">
        <v>0.42871259</v>
      </c>
    </row>
    <row r="30" spans="1:18">
      <c r="A30" s="15" t="s">
        <v>372</v>
      </c>
      <c r="B30" s="17" t="n">
        <v>2263</v>
      </c>
      <c r="C30" s="18">
        <f>(1992.0/B30*100)</f>
        <v/>
      </c>
      <c r="D30" s="19" t="n">
        <v>271</v>
      </c>
      <c r="E30" s="18" t="n">
        <v>56.71498658</v>
      </c>
      <c r="F30" s="20" t="n">
        <v>2.62119884</v>
      </c>
      <c r="G30" s="18" t="n">
        <v>42.93829246</v>
      </c>
      <c r="H30" s="20" t="n">
        <v>2.65573286</v>
      </c>
      <c r="I30" s="18" t="s">
        <v>349</v>
      </c>
      <c r="J30" s="20" t="s">
        <v>349</v>
      </c>
      <c r="K30" s="18" t="n">
        <v>0.34672097</v>
      </c>
      <c r="L30" s="20" t="n">
        <v>0.50890828</v>
      </c>
      <c r="M30" s="18" t="n">
        <v>0</v>
      </c>
      <c r="N30" s="20" t="n">
        <v>0</v>
      </c>
      <c r="O30" s="18" t="n">
        <v>0</v>
      </c>
      <c r="P30" s="20" t="n">
        <v>0</v>
      </c>
      <c r="Q30" s="18" t="n">
        <v>0</v>
      </c>
      <c r="R30" s="20" t="n">
        <v>0</v>
      </c>
    </row>
    <row r="31" spans="1:18">
      <c r="A31" s="15" t="s">
        <v>373</v>
      </c>
      <c r="B31" s="17" t="n">
        <v>2750</v>
      </c>
      <c r="C31" s="18">
        <f>(2418.0/B31*100)</f>
        <v/>
      </c>
      <c r="D31" s="19" t="n">
        <v>332</v>
      </c>
      <c r="E31" s="18" t="n">
        <v>52.55872418</v>
      </c>
      <c r="F31" s="20" t="n">
        <v>2.46590109</v>
      </c>
      <c r="G31" s="18" t="n">
        <v>45.93581293</v>
      </c>
      <c r="H31" s="20" t="n">
        <v>2.56829857</v>
      </c>
      <c r="I31" s="18" t="s">
        <v>349</v>
      </c>
      <c r="J31" s="20" t="s">
        <v>349</v>
      </c>
      <c r="K31" s="18" t="n">
        <v>1.20788087</v>
      </c>
      <c r="L31" s="20" t="n">
        <v>0.58514967</v>
      </c>
      <c r="M31" s="18" t="n">
        <v>0</v>
      </c>
      <c r="N31" s="20" t="n">
        <v>0</v>
      </c>
      <c r="O31" s="18" t="n">
        <v>0</v>
      </c>
      <c r="P31" s="20" t="n">
        <v>0</v>
      </c>
      <c r="Q31" s="18" t="n">
        <v>0.29758202</v>
      </c>
      <c r="R31" s="20" t="n">
        <v>0.28672573</v>
      </c>
    </row>
    <row r="32" spans="1:18">
      <c r="A32" s="15" t="s">
        <v>374</v>
      </c>
      <c r="B32" s="17" t="n">
        <v>2269</v>
      </c>
      <c r="C32" s="18">
        <f>(1872.0/B32*100)</f>
        <v/>
      </c>
      <c r="D32" s="19" t="n">
        <v>397</v>
      </c>
      <c r="E32" s="18" t="n">
        <v>47.20790176</v>
      </c>
      <c r="F32" s="20" t="n">
        <v>2.64798568</v>
      </c>
      <c r="G32" s="18" t="n">
        <v>52.79209824</v>
      </c>
      <c r="H32" s="20" t="n">
        <v>2.64798568</v>
      </c>
      <c r="I32" s="18" t="s">
        <v>349</v>
      </c>
      <c r="J32" s="20" t="s">
        <v>349</v>
      </c>
      <c r="K32" s="18" t="n">
        <v>0</v>
      </c>
      <c r="L32" s="20" t="n">
        <v>0</v>
      </c>
      <c r="M32" s="18" t="n">
        <v>0</v>
      </c>
      <c r="N32" s="20" t="n">
        <v>0</v>
      </c>
      <c r="O32" s="18" t="n">
        <v>0</v>
      </c>
      <c r="P32" s="20" t="n">
        <v>0</v>
      </c>
      <c r="Q32" s="18" t="n">
        <v>0</v>
      </c>
      <c r="R32" s="20" t="n">
        <v>0</v>
      </c>
    </row>
    <row r="33" spans="1:18">
      <c r="A33" s="15" t="s">
        <v>375</v>
      </c>
      <c r="B33" s="17" t="n">
        <v>3674</v>
      </c>
      <c r="C33" s="18">
        <f>(3246.0/B33*100)</f>
        <v/>
      </c>
      <c r="D33" s="19" t="n">
        <v>428</v>
      </c>
      <c r="E33" s="18" t="n">
        <v>54.42738379</v>
      </c>
      <c r="F33" s="20" t="n">
        <v>3.01798145</v>
      </c>
      <c r="G33" s="18" t="n">
        <v>44.37658755</v>
      </c>
      <c r="H33" s="20" t="n">
        <v>3.01647687</v>
      </c>
      <c r="I33" s="18" t="s">
        <v>349</v>
      </c>
      <c r="J33" s="20" t="s">
        <v>349</v>
      </c>
      <c r="K33" s="18" t="n">
        <v>0.6868165899999999</v>
      </c>
      <c r="L33" s="20" t="n">
        <v>0.47547618</v>
      </c>
      <c r="M33" s="18" t="n">
        <v>0</v>
      </c>
      <c r="N33" s="20" t="n">
        <v>0</v>
      </c>
      <c r="O33" s="18" t="n">
        <v>0</v>
      </c>
      <c r="P33" s="20" t="n">
        <v>0</v>
      </c>
      <c r="Q33" s="18" t="n">
        <v>0.50921207</v>
      </c>
      <c r="R33" s="20" t="n">
        <v>0.4736456</v>
      </c>
    </row>
    <row r="34" spans="1:18">
      <c r="A34" s="15" t="s">
        <v>376</v>
      </c>
      <c r="B34" s="17" t="n">
        <v>3315</v>
      </c>
      <c r="C34" s="18">
        <f>(2907.0/B34*100)</f>
        <v/>
      </c>
      <c r="D34" s="19" t="n">
        <v>408</v>
      </c>
      <c r="E34" s="18" t="n">
        <v>43.14996815</v>
      </c>
      <c r="F34" s="20" t="n">
        <v>2.55643574</v>
      </c>
      <c r="G34" s="18" t="n">
        <v>55.96415021</v>
      </c>
      <c r="H34" s="20" t="n">
        <v>2.5276708</v>
      </c>
      <c r="I34" s="18" t="s">
        <v>349</v>
      </c>
      <c r="J34" s="20" t="s">
        <v>349</v>
      </c>
      <c r="K34" s="18" t="n">
        <v>0.26161861</v>
      </c>
      <c r="L34" s="20" t="n">
        <v>0.26767105</v>
      </c>
      <c r="M34" s="18" t="n">
        <v>0</v>
      </c>
      <c r="N34" s="20" t="n">
        <v>0</v>
      </c>
      <c r="O34" s="18" t="n">
        <v>0</v>
      </c>
      <c r="P34" s="20" t="n">
        <v>0</v>
      </c>
      <c r="Q34" s="18" t="n">
        <v>0.6242630300000001</v>
      </c>
      <c r="R34" s="20" t="n">
        <v>0.46559811</v>
      </c>
    </row>
    <row r="35" spans="1:18">
      <c r="A35" s="15" t="s">
        <v>377</v>
      </c>
      <c r="B35" s="17" t="n">
        <v>3505</v>
      </c>
      <c r="C35" s="18">
        <f>(3063.0/B35*100)</f>
        <v/>
      </c>
      <c r="D35" s="19" t="n">
        <v>442</v>
      </c>
      <c r="E35" s="18" t="n">
        <v>42.61339032</v>
      </c>
      <c r="F35" s="20" t="n">
        <v>2.58815098</v>
      </c>
      <c r="G35" s="18" t="n">
        <v>57.05173801</v>
      </c>
      <c r="H35" s="20" t="n">
        <v>2.6026587</v>
      </c>
      <c r="I35" s="18" t="s">
        <v>349</v>
      </c>
      <c r="J35" s="20" t="s">
        <v>349</v>
      </c>
      <c r="K35" s="18" t="n">
        <v>0.2211764</v>
      </c>
      <c r="L35" s="20" t="n">
        <v>0.15939809</v>
      </c>
      <c r="M35" s="18" t="n">
        <v>0</v>
      </c>
      <c r="N35" s="20" t="n">
        <v>0</v>
      </c>
      <c r="O35" s="18" t="n">
        <v>0</v>
      </c>
      <c r="P35" s="20" t="n">
        <v>0</v>
      </c>
      <c r="Q35" s="18" t="n">
        <v>0.11369527</v>
      </c>
      <c r="R35" s="20" t="n">
        <v>0.11418458</v>
      </c>
    </row>
    <row r="36" spans="1:18">
      <c r="A36" s="15" t="s">
        <v>378</v>
      </c>
      <c r="B36" s="17" t="n">
        <v>3332</v>
      </c>
      <c r="C36" s="18">
        <f>(2934.0/B36*100)</f>
        <v/>
      </c>
      <c r="D36" s="19" t="n">
        <v>398</v>
      </c>
      <c r="E36" s="18" t="n">
        <v>51.525063</v>
      </c>
      <c r="F36" s="20" t="n">
        <v>2.64928841</v>
      </c>
      <c r="G36" s="18" t="n">
        <v>47.11494591</v>
      </c>
      <c r="H36" s="20" t="n">
        <v>2.53799132</v>
      </c>
      <c r="I36" s="18" t="s">
        <v>349</v>
      </c>
      <c r="J36" s="20" t="s">
        <v>349</v>
      </c>
      <c r="K36" s="18" t="n">
        <v>1.35999109</v>
      </c>
      <c r="L36" s="20" t="n">
        <v>0.60988488</v>
      </c>
      <c r="M36" s="18" t="n">
        <v>0</v>
      </c>
      <c r="N36" s="20" t="n">
        <v>0</v>
      </c>
      <c r="O36" s="18" t="n">
        <v>0</v>
      </c>
      <c r="P36" s="20" t="n">
        <v>0</v>
      </c>
      <c r="Q36" s="18" t="n">
        <v>0</v>
      </c>
      <c r="R36" s="20" t="n">
        <v>0</v>
      </c>
    </row>
    <row r="37" spans="1:18">
      <c r="A37" s="15" t="s">
        <v>379</v>
      </c>
      <c r="B37" s="17" t="n">
        <v>2727</v>
      </c>
      <c r="C37" s="18">
        <f>(2411.0/B37*100)</f>
        <v/>
      </c>
      <c r="D37" s="19" t="n">
        <v>316</v>
      </c>
      <c r="E37" s="18" t="n">
        <v>55.52087752</v>
      </c>
      <c r="F37" s="20" t="n">
        <v>3.02627326</v>
      </c>
      <c r="G37" s="18" t="n">
        <v>42.74188435</v>
      </c>
      <c r="H37" s="20" t="n">
        <v>3.15672241</v>
      </c>
      <c r="I37" s="18" t="s">
        <v>349</v>
      </c>
      <c r="J37" s="20" t="s">
        <v>349</v>
      </c>
      <c r="K37" s="18" t="n">
        <v>1.73723814</v>
      </c>
      <c r="L37" s="20" t="n">
        <v>0.79758326</v>
      </c>
      <c r="M37" s="18" t="n">
        <v>0</v>
      </c>
      <c r="N37" s="20" t="n">
        <v>0</v>
      </c>
      <c r="O37" s="18" t="n">
        <v>0</v>
      </c>
      <c r="P37" s="20" t="n">
        <v>0</v>
      </c>
      <c r="Q37" s="18" t="n">
        <v>0</v>
      </c>
      <c r="R37" s="20" t="n">
        <v>0</v>
      </c>
    </row>
    <row r="38" spans="1:18">
      <c r="A38" s="15" t="s">
        <v>380</v>
      </c>
      <c r="B38" s="17" t="n">
        <v>3053</v>
      </c>
      <c r="C38" s="18">
        <f>(2591.0/B38*100)</f>
        <v/>
      </c>
      <c r="D38" s="19" t="n">
        <v>462</v>
      </c>
      <c r="E38" s="18" t="n">
        <v>42.96264197</v>
      </c>
      <c r="F38" s="20" t="n">
        <v>2.59683467</v>
      </c>
      <c r="G38" s="18" t="n">
        <v>55.46153288</v>
      </c>
      <c r="H38" s="20" t="n">
        <v>2.52271237</v>
      </c>
      <c r="I38" s="18" t="s">
        <v>349</v>
      </c>
      <c r="J38" s="20" t="s">
        <v>349</v>
      </c>
      <c r="K38" s="18" t="n">
        <v>1.57582515</v>
      </c>
      <c r="L38" s="20" t="n">
        <v>0.61172706</v>
      </c>
      <c r="M38" s="18" t="n">
        <v>0</v>
      </c>
      <c r="N38" s="20" t="n">
        <v>0</v>
      </c>
      <c r="O38" s="18" t="n">
        <v>0</v>
      </c>
      <c r="P38" s="20" t="n">
        <v>0</v>
      </c>
      <c r="Q38" s="18" t="n">
        <v>0</v>
      </c>
      <c r="R38" s="20" t="n">
        <v>0</v>
      </c>
    </row>
    <row r="39" spans="1:18">
      <c r="A39" s="15" t="s">
        <v>381</v>
      </c>
      <c r="B39" s="17" t="n">
        <v>2957</v>
      </c>
      <c r="C39" s="18">
        <f>(2593.0/B39*100)</f>
        <v/>
      </c>
      <c r="D39" s="19" t="n">
        <v>364</v>
      </c>
      <c r="E39" s="18" t="n">
        <v>66.08768777</v>
      </c>
      <c r="F39" s="20" t="n">
        <v>2.35148</v>
      </c>
      <c r="G39" s="18" t="n">
        <v>33.22655153</v>
      </c>
      <c r="H39" s="20" t="n">
        <v>2.3890288</v>
      </c>
      <c r="I39" s="18" t="s">
        <v>349</v>
      </c>
      <c r="J39" s="20" t="s">
        <v>349</v>
      </c>
      <c r="K39" s="18" t="n">
        <v>0.6857607100000001</v>
      </c>
      <c r="L39" s="20" t="n">
        <v>0.41672458</v>
      </c>
      <c r="M39" s="18" t="n">
        <v>0</v>
      </c>
      <c r="N39" s="20" t="n">
        <v>0</v>
      </c>
      <c r="O39" s="18" t="n">
        <v>0</v>
      </c>
      <c r="P39" s="20" t="n">
        <v>0</v>
      </c>
      <c r="Q39" s="18" t="n">
        <v>0</v>
      </c>
      <c r="R39" s="20" t="n">
        <v>0</v>
      </c>
    </row>
    <row r="40" spans="1:18">
      <c r="A40" s="15" t="s">
        <v>382</v>
      </c>
      <c r="B40" s="17" t="n">
        <v>7235</v>
      </c>
      <c r="C40" s="18">
        <f>(6337.0/B40*100)</f>
        <v/>
      </c>
      <c r="D40" s="19" t="n">
        <v>898</v>
      </c>
      <c r="E40" s="18" t="n">
        <v>59.40254196</v>
      </c>
      <c r="F40" s="20" t="n">
        <v>2.67494215</v>
      </c>
      <c r="G40" s="18" t="n">
        <v>39.45181988</v>
      </c>
      <c r="H40" s="20" t="n">
        <v>2.77843328</v>
      </c>
      <c r="I40" s="18" t="s">
        <v>349</v>
      </c>
      <c r="J40" s="20" t="s">
        <v>349</v>
      </c>
      <c r="K40" s="18" t="n">
        <v>0.50272138</v>
      </c>
      <c r="L40" s="20" t="n">
        <v>0.23372174</v>
      </c>
      <c r="M40" s="18" t="n">
        <v>0</v>
      </c>
      <c r="N40" s="20" t="n">
        <v>0</v>
      </c>
      <c r="O40" s="18" t="n">
        <v>0</v>
      </c>
      <c r="P40" s="20" t="n">
        <v>0</v>
      </c>
      <c r="Q40" s="18" t="n">
        <v>0.64291677</v>
      </c>
      <c r="R40" s="20" t="n">
        <v>0.43893712</v>
      </c>
    </row>
    <row r="41" spans="1:18">
      <c r="A41" s="15" t="s">
        <v>383</v>
      </c>
      <c r="B41" s="17" t="n">
        <v>2858</v>
      </c>
      <c r="C41" s="18">
        <f>(2516.0/B41*100)</f>
        <v/>
      </c>
      <c r="D41" s="19" t="n">
        <v>342</v>
      </c>
      <c r="E41" s="18" t="n">
        <v>58.09742264</v>
      </c>
      <c r="F41" s="20" t="n">
        <v>2.48701971</v>
      </c>
      <c r="G41" s="18" t="n">
        <v>40.05762887</v>
      </c>
      <c r="H41" s="20" t="n">
        <v>2.4070762</v>
      </c>
      <c r="I41" s="18" t="s">
        <v>349</v>
      </c>
      <c r="J41" s="20" t="s">
        <v>349</v>
      </c>
      <c r="K41" s="18" t="n">
        <v>1.32136705</v>
      </c>
      <c r="L41" s="20" t="n">
        <v>0.92091029</v>
      </c>
      <c r="M41" s="18" t="n">
        <v>0</v>
      </c>
      <c r="N41" s="20" t="n">
        <v>0</v>
      </c>
      <c r="O41" s="18" t="n">
        <v>0</v>
      </c>
      <c r="P41" s="20" t="n">
        <v>0</v>
      </c>
      <c r="Q41" s="18" t="n">
        <v>0.52358144</v>
      </c>
      <c r="R41" s="20" t="n">
        <v>0.37757051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(9974.0/B46*100)</f>
        <v/>
      </c>
      <c r="D46" s="19" t="n">
        <v>1094</v>
      </c>
      <c r="E46" s="18" t="n">
        <v>63.46523067</v>
      </c>
      <c r="F46" s="20" t="n">
        <v>1.86366862</v>
      </c>
      <c r="G46" s="18" t="n">
        <v>34.09415695</v>
      </c>
      <c r="H46" s="20" t="n">
        <v>1.89100799</v>
      </c>
      <c r="I46" s="18" t="s">
        <v>349</v>
      </c>
      <c r="J46" s="20" t="s">
        <v>349</v>
      </c>
      <c r="K46" s="18" t="n">
        <v>1.82183343</v>
      </c>
      <c r="L46" s="20" t="n">
        <v>0.47478857</v>
      </c>
      <c r="M46" s="18" t="n">
        <v>0</v>
      </c>
      <c r="N46" s="20" t="n">
        <v>0</v>
      </c>
      <c r="O46" s="18" t="n">
        <v>0</v>
      </c>
      <c r="P46" s="20" t="n">
        <v>0</v>
      </c>
      <c r="Q46" s="18" t="n">
        <v>0.61877895</v>
      </c>
      <c r="R46" s="20" t="n">
        <v>0.28906551</v>
      </c>
    </row>
    <row r="47" spans="1:18">
      <c r="A47" s="15" t="s">
        <v>389</v>
      </c>
      <c r="B47" s="17" t="n">
        <v>3105</v>
      </c>
      <c r="C47" s="18">
        <f>(2736.0/B47*100)</f>
        <v/>
      </c>
      <c r="D47" s="19" t="n">
        <v>369</v>
      </c>
      <c r="E47" s="18" t="n">
        <v>52.95083819</v>
      </c>
      <c r="F47" s="20" t="n">
        <v>2.56329274</v>
      </c>
      <c r="G47" s="18" t="n">
        <v>45.99574485</v>
      </c>
      <c r="H47" s="20" t="n">
        <v>2.51406455</v>
      </c>
      <c r="I47" s="18" t="s">
        <v>349</v>
      </c>
      <c r="J47" s="20" t="s">
        <v>349</v>
      </c>
      <c r="K47" s="18" t="n">
        <v>0.49431132</v>
      </c>
      <c r="L47" s="20" t="n">
        <v>0.34968786</v>
      </c>
      <c r="M47" s="18" t="n">
        <v>0</v>
      </c>
      <c r="N47" s="20" t="n">
        <v>0</v>
      </c>
      <c r="O47" s="18" t="n">
        <v>0</v>
      </c>
      <c r="P47" s="20" t="n">
        <v>0</v>
      </c>
      <c r="Q47" s="18" t="n">
        <v>0.55910564</v>
      </c>
      <c r="R47" s="20" t="n">
        <v>0.54109755</v>
      </c>
    </row>
    <row r="48" spans="1:18">
      <c r="A48" s="15" t="s">
        <v>390</v>
      </c>
      <c r="B48" s="17" t="n">
        <v>5159</v>
      </c>
      <c r="C48" s="18">
        <f>(4532.0/B48*100)</f>
        <v/>
      </c>
      <c r="D48" s="19" t="n">
        <v>627</v>
      </c>
      <c r="E48" s="18" t="n">
        <v>30.5552484</v>
      </c>
      <c r="F48" s="20" t="n">
        <v>2.33580833</v>
      </c>
      <c r="G48" s="18" t="n">
        <v>68.92498225</v>
      </c>
      <c r="H48" s="20" t="n">
        <v>2.31575595</v>
      </c>
      <c r="I48" s="18" t="s">
        <v>349</v>
      </c>
      <c r="J48" s="20" t="s">
        <v>349</v>
      </c>
      <c r="K48" s="18" t="n">
        <v>0.51124422</v>
      </c>
      <c r="L48" s="20" t="n">
        <v>0.35213191</v>
      </c>
      <c r="M48" s="18" t="n">
        <v>0</v>
      </c>
      <c r="N48" s="20" t="n">
        <v>0</v>
      </c>
      <c r="O48" s="18" t="n">
        <v>0</v>
      </c>
      <c r="P48" s="20" t="n">
        <v>0</v>
      </c>
      <c r="Q48" s="18" t="n">
        <v>0.008525120000000001</v>
      </c>
      <c r="R48" s="20" t="n">
        <v>0.00861579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(4960.0/B50*100)</f>
        <v/>
      </c>
      <c r="D50" s="19" t="n">
        <v>677</v>
      </c>
      <c r="E50" s="18" t="n">
        <v>66.21994037</v>
      </c>
      <c r="F50" s="20" t="n">
        <v>2.3764646</v>
      </c>
      <c r="G50" s="18" t="n">
        <v>32.7444876</v>
      </c>
      <c r="H50" s="20" t="n">
        <v>2.3107219</v>
      </c>
      <c r="I50" s="18" t="s">
        <v>349</v>
      </c>
      <c r="J50" s="20" t="s">
        <v>349</v>
      </c>
      <c r="K50" s="18" t="n">
        <v>0.82493361</v>
      </c>
      <c r="L50" s="20" t="n">
        <v>0.43206805</v>
      </c>
      <c r="M50" s="18" t="n">
        <v>0</v>
      </c>
      <c r="N50" s="20" t="n">
        <v>0</v>
      </c>
      <c r="O50" s="18" t="n">
        <v>0</v>
      </c>
      <c r="P50" s="20" t="n">
        <v>0</v>
      </c>
      <c r="Q50" s="18" t="n">
        <v>0.21063842</v>
      </c>
      <c r="R50" s="20" t="n">
        <v>0.14159403</v>
      </c>
    </row>
    <row r="51" spans="1:18">
      <c r="A51" s="15" t="s">
        <v>393</v>
      </c>
      <c r="B51" s="17" t="n">
        <v>3372</v>
      </c>
      <c r="C51" s="18">
        <f>(3035.0/B51*100)</f>
        <v/>
      </c>
      <c r="D51" s="19" t="n">
        <v>337</v>
      </c>
      <c r="E51" s="18" t="n">
        <v>66.74759929</v>
      </c>
      <c r="F51" s="20" t="n">
        <v>2.77374011</v>
      </c>
      <c r="G51" s="18" t="n">
        <v>33.25240071</v>
      </c>
      <c r="H51" s="20" t="n">
        <v>2.77374011</v>
      </c>
      <c r="I51" s="18" t="s">
        <v>349</v>
      </c>
      <c r="J51" s="20" t="s">
        <v>349</v>
      </c>
      <c r="K51" s="18" t="n">
        <v>0</v>
      </c>
      <c r="L51" s="20" t="n">
        <v>0</v>
      </c>
      <c r="M51" s="18" t="n">
        <v>0</v>
      </c>
      <c r="N51" s="20" t="n">
        <v>0</v>
      </c>
      <c r="O51" s="18" t="n">
        <v>0</v>
      </c>
      <c r="P51" s="20" t="n">
        <v>0</v>
      </c>
      <c r="Q51" s="18" t="n">
        <v>0</v>
      </c>
      <c r="R51" s="20" t="n">
        <v>0</v>
      </c>
    </row>
    <row r="52" spans="1:18">
      <c r="A52" s="15" t="s">
        <v>394</v>
      </c>
      <c r="B52" s="17" t="n">
        <v>2796</v>
      </c>
      <c r="C52" s="18">
        <f>(2462.0/B52*100)</f>
        <v/>
      </c>
      <c r="D52" s="19" t="n">
        <v>334</v>
      </c>
      <c r="E52" s="18" t="n">
        <v>57.27291365</v>
      </c>
      <c r="F52" s="20" t="n">
        <v>2.73930174</v>
      </c>
      <c r="G52" s="18" t="n">
        <v>42.21630635</v>
      </c>
      <c r="H52" s="20" t="n">
        <v>2.76063718</v>
      </c>
      <c r="I52" s="18" t="s">
        <v>349</v>
      </c>
      <c r="J52" s="20" t="s">
        <v>349</v>
      </c>
      <c r="K52" s="18" t="n">
        <v>0.23794179</v>
      </c>
      <c r="L52" s="20" t="n">
        <v>0.24080974</v>
      </c>
      <c r="M52" s="18" t="n">
        <v>0</v>
      </c>
      <c r="N52" s="20" t="n">
        <v>0</v>
      </c>
      <c r="O52" s="18" t="n">
        <v>0</v>
      </c>
      <c r="P52" s="20" t="n">
        <v>0</v>
      </c>
      <c r="Q52" s="18" t="n">
        <v>0.27283821</v>
      </c>
      <c r="R52" s="20" t="n">
        <v>0.27564584</v>
      </c>
    </row>
    <row r="53" spans="1:18">
      <c r="A53" s="15" t="s">
        <v>395</v>
      </c>
      <c r="B53" s="17" t="n">
        <v>2811</v>
      </c>
      <c r="C53" s="18">
        <f>(2467.0/B53*100)</f>
        <v/>
      </c>
      <c r="D53" s="19" t="n">
        <v>344</v>
      </c>
      <c r="E53" s="18" t="n">
        <v>56.17974985</v>
      </c>
      <c r="F53" s="20" t="n">
        <v>2.69604974</v>
      </c>
      <c r="G53" s="18" t="n">
        <v>42.79455963</v>
      </c>
      <c r="H53" s="20" t="n">
        <v>2.77830856</v>
      </c>
      <c r="I53" s="18" t="s">
        <v>349</v>
      </c>
      <c r="J53" s="20" t="s">
        <v>349</v>
      </c>
      <c r="K53" s="18" t="n">
        <v>0.43058202</v>
      </c>
      <c r="L53" s="20" t="n">
        <v>0.29881639</v>
      </c>
      <c r="M53" s="18" t="n">
        <v>0</v>
      </c>
      <c r="N53" s="20" t="n">
        <v>0</v>
      </c>
      <c r="O53" s="18" t="n">
        <v>0</v>
      </c>
      <c r="P53" s="20" t="n">
        <v>0</v>
      </c>
      <c r="Q53" s="18" t="n">
        <v>0.5951085</v>
      </c>
      <c r="R53" s="20" t="n">
        <v>0.31751025</v>
      </c>
    </row>
    <row r="54" spans="1:18">
      <c r="A54" s="15" t="s">
        <v>396</v>
      </c>
      <c r="B54" s="17" t="n">
        <v>2266</v>
      </c>
      <c r="C54" s="18">
        <f>(1887.0/B54*100)</f>
        <v/>
      </c>
      <c r="D54" s="19" t="n">
        <v>379</v>
      </c>
      <c r="E54" s="18" t="n">
        <v>70.14463483</v>
      </c>
      <c r="F54" s="20" t="n">
        <v>2.53082302</v>
      </c>
      <c r="G54" s="18" t="n">
        <v>17.35124014</v>
      </c>
      <c r="H54" s="20" t="n">
        <v>1.96075387</v>
      </c>
      <c r="I54" s="18" t="s">
        <v>349</v>
      </c>
      <c r="J54" s="20" t="s">
        <v>349</v>
      </c>
      <c r="K54" s="18" t="n">
        <v>11.72548519</v>
      </c>
      <c r="L54" s="20" t="n">
        <v>1.72108017</v>
      </c>
      <c r="M54" s="18" t="n">
        <v>0</v>
      </c>
      <c r="N54" s="20" t="n">
        <v>0</v>
      </c>
      <c r="O54" s="18" t="n">
        <v>0</v>
      </c>
      <c r="P54" s="20" t="n">
        <v>0</v>
      </c>
      <c r="Q54" s="18" t="n">
        <v>0.77863984</v>
      </c>
      <c r="R54" s="20" t="n">
        <v>0.50919251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(2366.0/B56*100)</f>
        <v/>
      </c>
      <c r="D56" s="19" t="n">
        <v>318</v>
      </c>
      <c r="E56" s="18" t="n">
        <v>36.06815813</v>
      </c>
      <c r="F56" s="20" t="n">
        <v>3.24152041</v>
      </c>
      <c r="G56" s="18" t="n">
        <v>63.93184187</v>
      </c>
      <c r="H56" s="20" t="n">
        <v>3.24152041</v>
      </c>
      <c r="I56" s="18" t="s">
        <v>349</v>
      </c>
      <c r="J56" s="20" t="s">
        <v>349</v>
      </c>
      <c r="K56" s="18" t="n">
        <v>0</v>
      </c>
      <c r="L56" s="20" t="n">
        <v>0</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(2932.0/B61*100)</f>
        <v/>
      </c>
      <c r="D61" s="19" t="n">
        <v>392</v>
      </c>
      <c r="E61" s="18" t="n">
        <v>46.61252816</v>
      </c>
      <c r="F61" s="20" t="n">
        <v>2.7990844</v>
      </c>
      <c r="G61" s="18" t="n">
        <v>52.54457863</v>
      </c>
      <c r="H61" s="20" t="n">
        <v>2.74793467</v>
      </c>
      <c r="I61" s="18" t="s">
        <v>349</v>
      </c>
      <c r="J61" s="20" t="s">
        <v>349</v>
      </c>
      <c r="K61" s="18" t="n">
        <v>0.8428932</v>
      </c>
      <c r="L61" s="20" t="n">
        <v>0.5367964</v>
      </c>
      <c r="M61" s="18" t="n">
        <v>0</v>
      </c>
      <c r="N61" s="20" t="n">
        <v>0</v>
      </c>
      <c r="O61" s="18" t="n">
        <v>0</v>
      </c>
      <c r="P61" s="20" t="n">
        <v>0</v>
      </c>
      <c r="Q61" s="18" t="n">
        <v>0</v>
      </c>
      <c r="R61" s="20" t="n">
        <v>0</v>
      </c>
    </row>
    <row r="62" spans="1:18">
      <c r="A62" s="15" t="s">
        <v>404</v>
      </c>
      <c r="B62" s="17" t="n">
        <v>2246</v>
      </c>
      <c r="C62" s="18">
        <f>(2004.0/B62*100)</f>
        <v/>
      </c>
      <c r="D62" s="19" t="n">
        <v>242</v>
      </c>
      <c r="E62" s="18" t="n">
        <v>41.05270853</v>
      </c>
      <c r="F62" s="20" t="n">
        <v>2.89651265</v>
      </c>
      <c r="G62" s="18" t="n">
        <v>58.94729147</v>
      </c>
      <c r="H62" s="20" t="n">
        <v>2.89651265</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(2554.0/B66*100)</f>
        <v/>
      </c>
      <c r="D66" s="19" t="n">
        <v>340</v>
      </c>
      <c r="E66" s="18" t="n">
        <v>57.53415906</v>
      </c>
      <c r="F66" s="20" t="n">
        <v>2.79499149</v>
      </c>
      <c r="G66" s="18" t="n">
        <v>40.51195978</v>
      </c>
      <c r="H66" s="20" t="n">
        <v>2.73375442</v>
      </c>
      <c r="I66" s="18" t="s">
        <v>349</v>
      </c>
      <c r="J66" s="20" t="s">
        <v>349</v>
      </c>
      <c r="K66" s="18" t="n">
        <v>0.57464094</v>
      </c>
      <c r="L66" s="20" t="n">
        <v>0.40558568</v>
      </c>
      <c r="M66" s="18" t="n">
        <v>0</v>
      </c>
      <c r="N66" s="20" t="n">
        <v>0</v>
      </c>
      <c r="O66" s="18" t="n">
        <v>0</v>
      </c>
      <c r="P66" s="20" t="n">
        <v>0</v>
      </c>
      <c r="Q66" s="18" t="n">
        <v>1.37924022</v>
      </c>
      <c r="R66" s="20" t="n">
        <v>0.62347875</v>
      </c>
    </row>
    <row r="67" spans="1:18">
      <c r="A67" s="15" t="s">
        <v>409</v>
      </c>
      <c r="B67" s="17" t="n">
        <v>3511</v>
      </c>
      <c r="C67" s="18">
        <f>(3132.0/B67*100)</f>
        <v/>
      </c>
      <c r="D67" s="19" t="n">
        <v>379</v>
      </c>
      <c r="E67" s="18" t="n">
        <v>62.74815313</v>
      </c>
      <c r="F67" s="20" t="n">
        <v>2.7183473</v>
      </c>
      <c r="G67" s="18" t="n">
        <v>36.50750559</v>
      </c>
      <c r="H67" s="20" t="n">
        <v>2.70465362</v>
      </c>
      <c r="I67" s="18" t="s">
        <v>349</v>
      </c>
      <c r="J67" s="20" t="s">
        <v>349</v>
      </c>
      <c r="K67" s="18" t="n">
        <v>0.2517625</v>
      </c>
      <c r="L67" s="20" t="n">
        <v>0.25393966</v>
      </c>
      <c r="M67" s="18" t="n">
        <v>0</v>
      </c>
      <c r="N67" s="20" t="n">
        <v>0</v>
      </c>
      <c r="O67" s="18" t="n">
        <v>0</v>
      </c>
      <c r="P67" s="20" t="n">
        <v>0</v>
      </c>
      <c r="Q67" s="18" t="n">
        <v>0.49257878</v>
      </c>
      <c r="R67" s="20" t="n">
        <v>0.34881991</v>
      </c>
    </row>
    <row r="68" spans="1:18">
      <c r="A68" s="15" t="s">
        <v>410</v>
      </c>
      <c r="B68" s="17" t="n">
        <v>6049</v>
      </c>
      <c r="C68" s="18">
        <f>(5064.0/B68*100)</f>
        <v/>
      </c>
      <c r="D68" s="19" t="n">
        <v>985</v>
      </c>
      <c r="E68" s="18" t="n">
        <v>61.37654219</v>
      </c>
      <c r="F68" s="20" t="n">
        <v>1.3749926</v>
      </c>
      <c r="G68" s="18" t="n">
        <v>33.91001501</v>
      </c>
      <c r="H68" s="20" t="n">
        <v>1.37617413</v>
      </c>
      <c r="I68" s="18" t="s">
        <v>349</v>
      </c>
      <c r="J68" s="20" t="s">
        <v>349</v>
      </c>
      <c r="K68" s="18" t="n">
        <v>2.92598444</v>
      </c>
      <c r="L68" s="20" t="n">
        <v>0.48373656</v>
      </c>
      <c r="M68" s="18" t="n">
        <v>0</v>
      </c>
      <c r="N68" s="20" t="n">
        <v>0</v>
      </c>
      <c r="O68" s="18" t="n">
        <v>0</v>
      </c>
      <c r="P68" s="20" t="n">
        <v>0</v>
      </c>
      <c r="Q68" s="18" t="n">
        <v>1.78745836</v>
      </c>
      <c r="R68" s="20" t="n">
        <v>0.48274763</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(2611.0/B70*100)</f>
        <v/>
      </c>
      <c r="D70" s="19" t="n">
        <v>318</v>
      </c>
      <c r="E70" s="18" t="n">
        <v>52.26910668</v>
      </c>
      <c r="F70" s="20" t="n">
        <v>3.54590813</v>
      </c>
      <c r="G70" s="18" t="n">
        <v>47.13668885</v>
      </c>
      <c r="H70" s="20" t="n">
        <v>3.59733456</v>
      </c>
      <c r="I70" s="18" t="s">
        <v>349</v>
      </c>
      <c r="J70" s="20" t="s">
        <v>349</v>
      </c>
      <c r="K70" s="18" t="n">
        <v>0.59420447</v>
      </c>
      <c r="L70" s="20" t="n">
        <v>0.33929119</v>
      </c>
      <c r="M70" s="18" t="n">
        <v>0</v>
      </c>
      <c r="N70" s="20" t="n">
        <v>0</v>
      </c>
      <c r="O70" s="18" t="n">
        <v>0</v>
      </c>
      <c r="P70" s="20" t="n">
        <v>0</v>
      </c>
      <c r="Q70" s="18" t="n">
        <v>0</v>
      </c>
      <c r="R70" s="20" t="n">
        <v>0</v>
      </c>
    </row>
    <row r="71" spans="1:18">
      <c r="A71" s="15" t="s">
        <v>413</v>
      </c>
      <c r="B71" s="17" t="n">
        <v>3142</v>
      </c>
      <c r="C71" s="18">
        <f>(2751.0/B71*100)</f>
        <v/>
      </c>
      <c r="D71" s="19" t="n">
        <v>391</v>
      </c>
      <c r="E71" s="18" t="n">
        <v>41.60625452</v>
      </c>
      <c r="F71" s="20" t="n">
        <v>2.48400939</v>
      </c>
      <c r="G71" s="18" t="n">
        <v>57.52273985</v>
      </c>
      <c r="H71" s="20" t="n">
        <v>2.5219631</v>
      </c>
      <c r="I71" s="18" t="s">
        <v>349</v>
      </c>
      <c r="J71" s="20" t="s">
        <v>349</v>
      </c>
      <c r="K71" s="18" t="n">
        <v>0.74774521</v>
      </c>
      <c r="L71" s="20" t="n">
        <v>0.43485835</v>
      </c>
      <c r="M71" s="18" t="n">
        <v>0</v>
      </c>
      <c r="N71" s="20" t="n">
        <v>0</v>
      </c>
      <c r="O71" s="18" t="n">
        <v>0</v>
      </c>
      <c r="P71" s="20" t="n">
        <v>0</v>
      </c>
      <c r="Q71" s="18" t="n">
        <v>0.12326042</v>
      </c>
      <c r="R71" s="20" t="n">
        <v>0.12238469</v>
      </c>
    </row>
    <row r="72" spans="1:18">
      <c r="A72" s="15" t="s">
        <v>414</v>
      </c>
      <c r="B72" s="17" t="n">
        <v>3889</v>
      </c>
      <c r="C72" s="18">
        <f>(3403.0/B72*100)</f>
        <v/>
      </c>
      <c r="D72" s="19" t="n">
        <v>486</v>
      </c>
      <c r="E72" s="18" t="n">
        <v>31.91326237</v>
      </c>
      <c r="F72" s="20" t="n">
        <v>2.6288287</v>
      </c>
      <c r="G72" s="18" t="n">
        <v>67.80923048</v>
      </c>
      <c r="H72" s="20" t="n">
        <v>2.55685062</v>
      </c>
      <c r="I72" s="18" t="s">
        <v>349</v>
      </c>
      <c r="J72" s="20" t="s">
        <v>349</v>
      </c>
      <c r="K72" s="18" t="n">
        <v>0.27750715</v>
      </c>
      <c r="L72" s="20" t="n">
        <v>0.27761389</v>
      </c>
      <c r="M72" s="18" t="n">
        <v>0</v>
      </c>
      <c r="N72" s="20" t="n">
        <v>0</v>
      </c>
      <c r="O72" s="18" t="n">
        <v>0</v>
      </c>
      <c r="P72" s="20" t="n">
        <v>0</v>
      </c>
      <c r="Q72" s="18" t="n">
        <v>0</v>
      </c>
      <c r="R72" s="20" t="n">
        <v>0</v>
      </c>
    </row>
    <row r="73" spans="1:18">
      <c r="A73" s="15" t="s">
        <v>415</v>
      </c>
      <c r="B73" s="17" t="n">
        <v>3597</v>
      </c>
      <c r="C73" s="18">
        <f>(3167.0/B73*100)</f>
        <v/>
      </c>
      <c r="D73" s="19" t="n">
        <v>430</v>
      </c>
      <c r="E73" s="18" t="n">
        <v>61.17547063</v>
      </c>
      <c r="F73" s="20" t="n">
        <v>2.96611589</v>
      </c>
      <c r="G73" s="18" t="n">
        <v>38.81420252</v>
      </c>
      <c r="H73" s="20" t="n">
        <v>2.96663939</v>
      </c>
      <c r="I73" s="18" t="s">
        <v>349</v>
      </c>
      <c r="J73" s="20" t="s">
        <v>349</v>
      </c>
      <c r="K73" s="18" t="n">
        <v>0.01032685</v>
      </c>
      <c r="L73" s="20" t="n">
        <v>0.01039011</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(2135.0/B75*100)</f>
        <v/>
      </c>
      <c r="D75" s="19" t="n">
        <v>271</v>
      </c>
      <c r="E75" s="18" t="n">
        <v>66.47594582000001</v>
      </c>
      <c r="F75" s="20" t="n">
        <v>3.2487511</v>
      </c>
      <c r="G75" s="18" t="n">
        <v>29.91321422</v>
      </c>
      <c r="H75" s="20" t="n">
        <v>3.16775517</v>
      </c>
      <c r="I75" s="18" t="s">
        <v>349</v>
      </c>
      <c r="J75" s="20" t="s">
        <v>349</v>
      </c>
      <c r="K75" s="18" t="n">
        <v>2.57807269</v>
      </c>
      <c r="L75" s="20" t="n">
        <v>0.91615846</v>
      </c>
      <c r="M75" s="18" t="n">
        <v>0</v>
      </c>
      <c r="N75" s="20" t="n">
        <v>0</v>
      </c>
      <c r="O75" s="18" t="n">
        <v>0</v>
      </c>
      <c r="P75" s="20" t="n">
        <v>0</v>
      </c>
      <c r="Q75" s="18" t="n">
        <v>1.03276727</v>
      </c>
      <c r="R75" s="20" t="n">
        <v>0.59357771</v>
      </c>
    </row>
    <row r="76" spans="1:18">
      <c r="A76" s="15" t="s">
        <v>418</v>
      </c>
      <c r="B76" s="17" t="n">
        <v>7052</v>
      </c>
      <c r="C76" s="18">
        <f>(6215.0/B76*100)</f>
        <v/>
      </c>
      <c r="D76" s="19" t="n">
        <v>837</v>
      </c>
      <c r="E76" s="18" t="n">
        <v>63.54294021</v>
      </c>
      <c r="F76" s="20" t="n">
        <v>2.28021392</v>
      </c>
      <c r="G76" s="18" t="n">
        <v>34.39243051</v>
      </c>
      <c r="H76" s="20" t="n">
        <v>2.15835712</v>
      </c>
      <c r="I76" s="18" t="s">
        <v>349</v>
      </c>
      <c r="J76" s="20" t="s">
        <v>349</v>
      </c>
      <c r="K76" s="18" t="n">
        <v>1.77504577</v>
      </c>
      <c r="L76" s="20" t="n">
        <v>0.54831628</v>
      </c>
      <c r="M76" s="18" t="n">
        <v>0</v>
      </c>
      <c r="N76" s="20" t="n">
        <v>0</v>
      </c>
      <c r="O76" s="18" t="n">
        <v>0</v>
      </c>
      <c r="P76" s="20" t="n">
        <v>0</v>
      </c>
      <c r="Q76" s="18" t="n">
        <v>0.28958351</v>
      </c>
      <c r="R76" s="20" t="n">
        <v>0.13604395</v>
      </c>
    </row>
    <row r="77" spans="1:18">
      <c r="A77" s="15" t="s">
        <v>419</v>
      </c>
      <c r="B77" s="17" t="n">
        <v>2908</v>
      </c>
      <c r="C77" s="18">
        <f>(2544.0/B77*100)</f>
        <v/>
      </c>
      <c r="D77" s="19" t="n">
        <v>364</v>
      </c>
      <c r="E77" s="18" t="n">
        <v>63.13971703</v>
      </c>
      <c r="F77" s="20" t="n">
        <v>3.05643367</v>
      </c>
      <c r="G77" s="18" t="n">
        <v>34.52842687</v>
      </c>
      <c r="H77" s="20" t="n">
        <v>2.97701517</v>
      </c>
      <c r="I77" s="18" t="s">
        <v>349</v>
      </c>
      <c r="J77" s="20" t="s">
        <v>349</v>
      </c>
      <c r="K77" s="18" t="n">
        <v>1.60286882</v>
      </c>
      <c r="L77" s="20" t="n">
        <v>0.71123083</v>
      </c>
      <c r="M77" s="18" t="n">
        <v>0</v>
      </c>
      <c r="N77" s="20" t="n">
        <v>0</v>
      </c>
      <c r="O77" s="18" t="n">
        <v>0</v>
      </c>
      <c r="P77" s="20" t="n">
        <v>0</v>
      </c>
      <c r="Q77" s="18" t="n">
        <v>0.72898727</v>
      </c>
      <c r="R77" s="20" t="n">
        <v>0.4295037</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(3656.0/B81*100)</f>
        <v/>
      </c>
      <c r="D81" s="19" t="n">
        <v>507</v>
      </c>
      <c r="E81" s="18" t="n">
        <v>65.70006943999999</v>
      </c>
      <c r="F81" s="20" t="n">
        <v>2.73674067</v>
      </c>
      <c r="G81" s="18" t="n">
        <v>33.68220708</v>
      </c>
      <c r="H81" s="20" t="n">
        <v>2.67905304</v>
      </c>
      <c r="I81" s="18" t="s">
        <v>349</v>
      </c>
      <c r="J81" s="20" t="s">
        <v>349</v>
      </c>
      <c r="K81" s="18" t="n">
        <v>0.61772348</v>
      </c>
      <c r="L81" s="20" t="n">
        <v>0.78004753</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(6494.0/B7*100)</f>
        <v/>
      </c>
      <c r="D7" s="19" t="n">
        <v>873</v>
      </c>
      <c r="E7" s="18" t="n">
        <v>49.04629541</v>
      </c>
      <c r="F7" s="20" t="n">
        <v>2.37199924</v>
      </c>
      <c r="G7" s="18" t="n">
        <v>49.58548575</v>
      </c>
      <c r="H7" s="20" t="n">
        <v>2.34920541</v>
      </c>
      <c r="I7" s="18" t="s">
        <v>349</v>
      </c>
      <c r="J7" s="20" t="s">
        <v>349</v>
      </c>
      <c r="K7" s="18" t="n">
        <v>1.36821884</v>
      </c>
      <c r="L7" s="20" t="n">
        <v>0.42637122</v>
      </c>
      <c r="M7" s="18" t="n">
        <v>0</v>
      </c>
      <c r="N7" s="20" t="n">
        <v>0</v>
      </c>
      <c r="O7" s="18" t="n">
        <v>0</v>
      </c>
      <c r="P7" s="20" t="n">
        <v>0</v>
      </c>
      <c r="Q7" s="18" t="n">
        <v>0</v>
      </c>
      <c r="R7" s="20" t="n">
        <v>0</v>
      </c>
    </row>
    <row r="8" spans="1:18">
      <c r="A8" s="15" t="s">
        <v>350</v>
      </c>
      <c r="B8" s="17" t="n">
        <v>3564</v>
      </c>
      <c r="C8" s="18">
        <f>(3127.0/B8*100)</f>
        <v/>
      </c>
      <c r="D8" s="19" t="n">
        <v>437</v>
      </c>
      <c r="E8" s="18" t="n">
        <v>43.70420649</v>
      </c>
      <c r="F8" s="20" t="n">
        <v>2.82345214</v>
      </c>
      <c r="G8" s="18" t="n">
        <v>54.50418964</v>
      </c>
      <c r="H8" s="20" t="n">
        <v>2.91660038</v>
      </c>
      <c r="I8" s="18" t="s">
        <v>349</v>
      </c>
      <c r="J8" s="20" t="s">
        <v>349</v>
      </c>
      <c r="K8" s="18" t="n">
        <v>1.79160387</v>
      </c>
      <c r="L8" s="20" t="n">
        <v>0.70135262</v>
      </c>
      <c r="M8" s="18" t="n">
        <v>0</v>
      </c>
      <c r="N8" s="20" t="n">
        <v>0</v>
      </c>
      <c r="O8" s="18" t="n">
        <v>0</v>
      </c>
      <c r="P8" s="20" t="n">
        <v>0</v>
      </c>
      <c r="Q8" s="18" t="n">
        <v>0</v>
      </c>
      <c r="R8" s="20" t="n">
        <v>0</v>
      </c>
    </row>
    <row r="9" spans="1:18">
      <c r="A9" s="15" t="s">
        <v>351</v>
      </c>
      <c r="B9" s="17" t="n">
        <v>4899</v>
      </c>
      <c r="C9" s="18">
        <f>(4313.0/B9*100)</f>
        <v/>
      </c>
      <c r="D9" s="19" t="n">
        <v>586</v>
      </c>
      <c r="E9" s="18" t="n">
        <v>36.87697875</v>
      </c>
      <c r="F9" s="20" t="n">
        <v>2.16109232</v>
      </c>
      <c r="G9" s="18" t="n">
        <v>61.36965132</v>
      </c>
      <c r="H9" s="20" t="n">
        <v>2.12100551</v>
      </c>
      <c r="I9" s="18" t="s">
        <v>349</v>
      </c>
      <c r="J9" s="20" t="s">
        <v>349</v>
      </c>
      <c r="K9" s="18" t="n">
        <v>1.75336993</v>
      </c>
      <c r="L9" s="20" t="n">
        <v>0.63160307</v>
      </c>
      <c r="M9" s="18" t="n">
        <v>0</v>
      </c>
      <c r="N9" s="20" t="n">
        <v>0</v>
      </c>
      <c r="O9" s="18" t="n">
        <v>0</v>
      </c>
      <c r="P9" s="20" t="n">
        <v>0</v>
      </c>
      <c r="Q9" s="18" t="n">
        <v>0</v>
      </c>
      <c r="R9" s="20" t="n">
        <v>0</v>
      </c>
    </row>
    <row r="10" spans="1:18">
      <c r="A10" s="15" t="s">
        <v>352</v>
      </c>
      <c r="B10" s="17" t="n">
        <v>10036</v>
      </c>
      <c r="C10" s="18">
        <f>(8802.0/B10*100)</f>
        <v/>
      </c>
      <c r="D10" s="19" t="n">
        <v>1234</v>
      </c>
      <c r="E10" s="18" t="n">
        <v>46.23424244</v>
      </c>
      <c r="F10" s="20" t="n">
        <v>1.83666451</v>
      </c>
      <c r="G10" s="18" t="n">
        <v>52.45624864</v>
      </c>
      <c r="H10" s="20" t="n">
        <v>1.73244186</v>
      </c>
      <c r="I10" s="18" t="s">
        <v>349</v>
      </c>
      <c r="J10" s="20" t="s">
        <v>349</v>
      </c>
      <c r="K10" s="18" t="n">
        <v>1.30950892</v>
      </c>
      <c r="L10" s="20" t="n">
        <v>0.57111802</v>
      </c>
      <c r="M10" s="18" t="n">
        <v>0</v>
      </c>
      <c r="N10" s="20" t="n">
        <v>0</v>
      </c>
      <c r="O10" s="18" t="n">
        <v>0</v>
      </c>
      <c r="P10" s="20" t="n">
        <v>0</v>
      </c>
      <c r="Q10" s="18" t="n">
        <v>0</v>
      </c>
      <c r="R10" s="20" t="n">
        <v>0</v>
      </c>
    </row>
    <row r="11" spans="1:18">
      <c r="A11" s="15" t="s">
        <v>353</v>
      </c>
      <c r="B11" s="17" t="n">
        <v>3553</v>
      </c>
      <c r="C11" s="18">
        <f>(3137.0/B11*100)</f>
        <v/>
      </c>
      <c r="D11" s="19" t="n">
        <v>416</v>
      </c>
      <c r="E11" s="18" t="n">
        <v>57.29012881</v>
      </c>
      <c r="F11" s="20" t="n">
        <v>3.04065451</v>
      </c>
      <c r="G11" s="18" t="n">
        <v>40.48814072</v>
      </c>
      <c r="H11" s="20" t="n">
        <v>3.13238846</v>
      </c>
      <c r="I11" s="18" t="s">
        <v>349</v>
      </c>
      <c r="J11" s="20" t="s">
        <v>349</v>
      </c>
      <c r="K11" s="18" t="n">
        <v>2.22173047</v>
      </c>
      <c r="L11" s="20" t="n">
        <v>0.80254795</v>
      </c>
      <c r="M11" s="18" t="n">
        <v>0</v>
      </c>
      <c r="N11" s="20" t="n">
        <v>0</v>
      </c>
      <c r="O11" s="18" t="n">
        <v>0</v>
      </c>
      <c r="P11" s="20" t="n">
        <v>0</v>
      </c>
      <c r="Q11" s="18" t="n">
        <v>0</v>
      </c>
      <c r="R11" s="20" t="n">
        <v>0</v>
      </c>
    </row>
    <row r="12" spans="1:18">
      <c r="A12" s="15" t="s">
        <v>354</v>
      </c>
      <c r="B12" s="17" t="n">
        <v>3472</v>
      </c>
      <c r="C12" s="18">
        <f>(3076.0/B12*100)</f>
        <v/>
      </c>
      <c r="D12" s="19" t="n">
        <v>396</v>
      </c>
      <c r="E12" s="18" t="n">
        <v>48.0200401</v>
      </c>
      <c r="F12" s="20" t="n">
        <v>3.1181085</v>
      </c>
      <c r="G12" s="18" t="n">
        <v>50.89964044</v>
      </c>
      <c r="H12" s="20" t="n">
        <v>3.11905448</v>
      </c>
      <c r="I12" s="18" t="s">
        <v>349</v>
      </c>
      <c r="J12" s="20" t="s">
        <v>349</v>
      </c>
      <c r="K12" s="18" t="n">
        <v>1.08031947</v>
      </c>
      <c r="L12" s="20" t="n">
        <v>0.53857408</v>
      </c>
      <c r="M12" s="18" t="n">
        <v>0</v>
      </c>
      <c r="N12" s="20" t="n">
        <v>0</v>
      </c>
      <c r="O12" s="18" t="n">
        <v>0</v>
      </c>
      <c r="P12" s="20" t="n">
        <v>0</v>
      </c>
      <c r="Q12" s="18" t="n">
        <v>0</v>
      </c>
      <c r="R12" s="20" t="n">
        <v>0</v>
      </c>
    </row>
    <row r="13" spans="1:18">
      <c r="A13" s="15" t="s">
        <v>355</v>
      </c>
      <c r="B13" s="17" t="n">
        <v>3559</v>
      </c>
      <c r="C13" s="18">
        <f>(3163.0/B13*100)</f>
        <v/>
      </c>
      <c r="D13" s="19" t="n">
        <v>396</v>
      </c>
      <c r="E13" s="18" t="n">
        <v>48.37884</v>
      </c>
      <c r="F13" s="20" t="n">
        <v>3.61363412</v>
      </c>
      <c r="G13" s="18" t="n">
        <v>49.94010188</v>
      </c>
      <c r="H13" s="20" t="n">
        <v>3.48141693</v>
      </c>
      <c r="I13" s="18" t="s">
        <v>349</v>
      </c>
      <c r="J13" s="20" t="s">
        <v>349</v>
      </c>
      <c r="K13" s="18" t="n">
        <v>1.68105812</v>
      </c>
      <c r="L13" s="20" t="n">
        <v>0.66121482</v>
      </c>
      <c r="M13" s="18" t="n">
        <v>0</v>
      </c>
      <c r="N13" s="20" t="n">
        <v>0</v>
      </c>
      <c r="O13" s="18" t="n">
        <v>0</v>
      </c>
      <c r="P13" s="20" t="n">
        <v>0</v>
      </c>
      <c r="Q13" s="18" t="n">
        <v>0</v>
      </c>
      <c r="R13" s="20" t="n">
        <v>0</v>
      </c>
    </row>
    <row r="14" spans="1:18">
      <c r="A14" s="15" t="s">
        <v>356</v>
      </c>
      <c r="B14" s="17" t="n">
        <v>2799</v>
      </c>
      <c r="C14" s="18">
        <f>(2456.0/B14*100)</f>
        <v/>
      </c>
      <c r="D14" s="19" t="n">
        <v>343</v>
      </c>
      <c r="E14" s="18" t="n">
        <v>44.07993157</v>
      </c>
      <c r="F14" s="20" t="n">
        <v>2.86591821</v>
      </c>
      <c r="G14" s="18" t="n">
        <v>54.12217652</v>
      </c>
      <c r="H14" s="20" t="n">
        <v>2.82021814</v>
      </c>
      <c r="I14" s="18" t="s">
        <v>349</v>
      </c>
      <c r="J14" s="20" t="s">
        <v>349</v>
      </c>
      <c r="K14" s="18" t="n">
        <v>1.79789191</v>
      </c>
      <c r="L14" s="20" t="n">
        <v>0.75542192</v>
      </c>
      <c r="M14" s="18" t="n">
        <v>0</v>
      </c>
      <c r="N14" s="20" t="n">
        <v>0</v>
      </c>
      <c r="O14" s="18" t="n">
        <v>0</v>
      </c>
      <c r="P14" s="20" t="n">
        <v>0</v>
      </c>
      <c r="Q14" s="18" t="n">
        <v>0</v>
      </c>
      <c r="R14" s="20" t="n">
        <v>0</v>
      </c>
    </row>
    <row r="15" spans="1:18">
      <c r="A15" s="15" t="s">
        <v>357</v>
      </c>
      <c r="B15" s="17" t="n">
        <v>3019</v>
      </c>
      <c r="C15" s="18">
        <f>(2650.0/B15*100)</f>
        <v/>
      </c>
      <c r="D15" s="19" t="n">
        <v>369</v>
      </c>
      <c r="E15" s="18" t="n">
        <v>52.72225616</v>
      </c>
      <c r="F15" s="20" t="n">
        <v>2.71079231</v>
      </c>
      <c r="G15" s="18" t="n">
        <v>46.7628482</v>
      </c>
      <c r="H15" s="20" t="n">
        <v>2.70536504</v>
      </c>
      <c r="I15" s="18" t="s">
        <v>349</v>
      </c>
      <c r="J15" s="20" t="s">
        <v>349</v>
      </c>
      <c r="K15" s="18" t="n">
        <v>0.51489564</v>
      </c>
      <c r="L15" s="20" t="n">
        <v>0.36700883</v>
      </c>
      <c r="M15" s="18" t="n">
        <v>0</v>
      </c>
      <c r="N15" s="20" t="n">
        <v>0</v>
      </c>
      <c r="O15" s="18" t="n">
        <v>0</v>
      </c>
      <c r="P15" s="20" t="n">
        <v>0</v>
      </c>
      <c r="Q15" s="18" t="n">
        <v>0</v>
      </c>
      <c r="R15" s="20" t="n">
        <v>0</v>
      </c>
    </row>
    <row r="16" spans="1:18">
      <c r="A16" s="15" t="s">
        <v>358</v>
      </c>
      <c r="B16" s="17" t="n">
        <v>2997</v>
      </c>
      <c r="C16" s="18">
        <f>(2623.0/B16*100)</f>
        <v/>
      </c>
      <c r="D16" s="19" t="n">
        <v>374</v>
      </c>
      <c r="E16" s="18" t="n">
        <v>50.44465427</v>
      </c>
      <c r="F16" s="20" t="n">
        <v>2.70836556</v>
      </c>
      <c r="G16" s="18" t="n">
        <v>47.1572197</v>
      </c>
      <c r="H16" s="20" t="n">
        <v>2.72676339</v>
      </c>
      <c r="I16" s="18" t="s">
        <v>349</v>
      </c>
      <c r="J16" s="20" t="s">
        <v>349</v>
      </c>
      <c r="K16" s="18" t="n">
        <v>2.39812603</v>
      </c>
      <c r="L16" s="20" t="n">
        <v>0.87282454</v>
      </c>
      <c r="M16" s="18" t="n">
        <v>0</v>
      </c>
      <c r="N16" s="20" t="n">
        <v>0</v>
      </c>
      <c r="O16" s="18" t="n">
        <v>0</v>
      </c>
      <c r="P16" s="20" t="n">
        <v>0</v>
      </c>
      <c r="Q16" s="18" t="n">
        <v>0</v>
      </c>
      <c r="R16" s="20" t="n">
        <v>0</v>
      </c>
    </row>
    <row r="17" spans="1:18">
      <c r="A17" s="15" t="s">
        <v>359</v>
      </c>
      <c r="B17" s="17" t="n">
        <v>3307</v>
      </c>
      <c r="C17" s="18">
        <f>(2925.0/B17*100)</f>
        <v/>
      </c>
      <c r="D17" s="19" t="n">
        <v>382</v>
      </c>
      <c r="E17" s="18" t="n">
        <v>41.26858564</v>
      </c>
      <c r="F17" s="20" t="n">
        <v>2.79684082</v>
      </c>
      <c r="G17" s="18" t="n">
        <v>57.38117479</v>
      </c>
      <c r="H17" s="20" t="n">
        <v>2.78686847</v>
      </c>
      <c r="I17" s="18" t="s">
        <v>349</v>
      </c>
      <c r="J17" s="20" t="s">
        <v>349</v>
      </c>
      <c r="K17" s="18" t="n">
        <v>1.35023957</v>
      </c>
      <c r="L17" s="20" t="n">
        <v>0.62495572</v>
      </c>
      <c r="M17" s="18" t="n">
        <v>0</v>
      </c>
      <c r="N17" s="20" t="n">
        <v>0</v>
      </c>
      <c r="O17" s="18" t="n">
        <v>0</v>
      </c>
      <c r="P17" s="20" t="n">
        <v>0</v>
      </c>
      <c r="Q17" s="18" t="n">
        <v>0</v>
      </c>
      <c r="R17" s="20" t="n">
        <v>0</v>
      </c>
    </row>
    <row r="18" spans="1:18">
      <c r="A18" s="15" t="s">
        <v>360</v>
      </c>
      <c r="B18" s="17" t="n">
        <v>2826</v>
      </c>
      <c r="C18" s="18">
        <f>(2501.0/B18*100)</f>
        <v/>
      </c>
      <c r="D18" s="19" t="n">
        <v>325</v>
      </c>
      <c r="E18" s="18" t="n">
        <v>56.66296633</v>
      </c>
      <c r="F18" s="20" t="n">
        <v>3.10593825</v>
      </c>
      <c r="G18" s="18" t="n">
        <v>42.1240659</v>
      </c>
      <c r="H18" s="20" t="n">
        <v>3.03585196</v>
      </c>
      <c r="I18" s="18" t="s">
        <v>349</v>
      </c>
      <c r="J18" s="20" t="s">
        <v>349</v>
      </c>
      <c r="K18" s="18" t="n">
        <v>1.21296777</v>
      </c>
      <c r="L18" s="20" t="n">
        <v>0.74857377</v>
      </c>
      <c r="M18" s="18" t="n">
        <v>0</v>
      </c>
      <c r="N18" s="20" t="n">
        <v>0</v>
      </c>
      <c r="O18" s="18" t="n">
        <v>0</v>
      </c>
      <c r="P18" s="20" t="n">
        <v>0</v>
      </c>
      <c r="Q18" s="18" t="n">
        <v>0</v>
      </c>
      <c r="R18" s="20" t="n">
        <v>0</v>
      </c>
    </row>
    <row r="19" spans="1:18">
      <c r="A19" s="15" t="s">
        <v>361</v>
      </c>
      <c r="B19" s="17" t="n">
        <v>2808</v>
      </c>
      <c r="C19" s="18">
        <f>(2469.0/B19*100)</f>
        <v/>
      </c>
      <c r="D19" s="19" t="n">
        <v>339</v>
      </c>
      <c r="E19" s="18" t="n">
        <v>48.27611152</v>
      </c>
      <c r="F19" s="20" t="n">
        <v>2.28949438</v>
      </c>
      <c r="G19" s="18" t="n">
        <v>51.43463411</v>
      </c>
      <c r="H19" s="20" t="n">
        <v>2.32068051</v>
      </c>
      <c r="I19" s="18" t="s">
        <v>349</v>
      </c>
      <c r="J19" s="20" t="s">
        <v>349</v>
      </c>
      <c r="K19" s="18" t="n">
        <v>0.28925437</v>
      </c>
      <c r="L19" s="20" t="n">
        <v>0.28441949</v>
      </c>
      <c r="M19" s="18" t="n">
        <v>0</v>
      </c>
      <c r="N19" s="20" t="n">
        <v>0</v>
      </c>
      <c r="O19" s="18" t="n">
        <v>0</v>
      </c>
      <c r="P19" s="20" t="n">
        <v>0</v>
      </c>
      <c r="Q19" s="18" t="n">
        <v>0</v>
      </c>
      <c r="R19" s="20" t="n">
        <v>0</v>
      </c>
    </row>
    <row r="20" spans="1:18">
      <c r="A20" s="15" t="s">
        <v>362</v>
      </c>
      <c r="B20" s="17" t="n">
        <v>1630</v>
      </c>
      <c r="C20" s="18">
        <f>(1430.0/B20*100)</f>
        <v/>
      </c>
      <c r="D20" s="19" t="n">
        <v>200</v>
      </c>
      <c r="E20" s="18" t="n">
        <v>50.32867775</v>
      </c>
      <c r="F20" s="20" t="n">
        <v>3.88606491</v>
      </c>
      <c r="G20" s="18" t="n">
        <v>48.25256349</v>
      </c>
      <c r="H20" s="20" t="n">
        <v>3.81336233</v>
      </c>
      <c r="I20" s="18" t="s">
        <v>349</v>
      </c>
      <c r="J20" s="20" t="s">
        <v>349</v>
      </c>
      <c r="K20" s="18" t="n">
        <v>1.41875877</v>
      </c>
      <c r="L20" s="20" t="n">
        <v>0.83717891</v>
      </c>
      <c r="M20" s="18" t="n">
        <v>0</v>
      </c>
      <c r="N20" s="20" t="n">
        <v>0</v>
      </c>
      <c r="O20" s="18" t="n">
        <v>0</v>
      </c>
      <c r="P20" s="20" t="n">
        <v>0</v>
      </c>
      <c r="Q20" s="18" t="n">
        <v>0</v>
      </c>
      <c r="R20" s="20" t="n">
        <v>0</v>
      </c>
    </row>
    <row r="21" spans="1:18">
      <c r="A21" s="15" t="s">
        <v>363</v>
      </c>
      <c r="B21" s="17" t="n">
        <v>2908</v>
      </c>
      <c r="C21" s="18">
        <f>(2442.0/B21*100)</f>
        <v/>
      </c>
      <c r="D21" s="19" t="n">
        <v>466</v>
      </c>
      <c r="E21" s="18" t="n">
        <v>52.10540709</v>
      </c>
      <c r="F21" s="20" t="n">
        <v>2.29593739</v>
      </c>
      <c r="G21" s="18" t="n">
        <v>46.87072522</v>
      </c>
      <c r="H21" s="20" t="n">
        <v>2.26291211</v>
      </c>
      <c r="I21" s="18" t="s">
        <v>349</v>
      </c>
      <c r="J21" s="20" t="s">
        <v>349</v>
      </c>
      <c r="K21" s="18" t="n">
        <v>1.02386769</v>
      </c>
      <c r="L21" s="20" t="n">
        <v>0.50868833</v>
      </c>
      <c r="M21" s="18" t="n">
        <v>0</v>
      </c>
      <c r="N21" s="20" t="n">
        <v>0</v>
      </c>
      <c r="O21" s="18" t="n">
        <v>0</v>
      </c>
      <c r="P21" s="20" t="n">
        <v>0</v>
      </c>
      <c r="Q21" s="18" t="n">
        <v>0</v>
      </c>
      <c r="R21" s="20" t="n">
        <v>0</v>
      </c>
    </row>
    <row r="22" spans="1:18">
      <c r="A22" s="15" t="s">
        <v>364</v>
      </c>
      <c r="B22" s="17" t="n">
        <v>2931</v>
      </c>
      <c r="C22" s="18">
        <f>(2557.0/B22*100)</f>
        <v/>
      </c>
      <c r="D22" s="19" t="n">
        <v>374</v>
      </c>
      <c r="E22" s="18" t="n">
        <v>46.07239239</v>
      </c>
      <c r="F22" s="20" t="n">
        <v>2.68971388</v>
      </c>
      <c r="G22" s="18" t="n">
        <v>52.48704897</v>
      </c>
      <c r="H22" s="20" t="n">
        <v>2.67725449</v>
      </c>
      <c r="I22" s="18" t="s">
        <v>349</v>
      </c>
      <c r="J22" s="20" t="s">
        <v>349</v>
      </c>
      <c r="K22" s="18" t="n">
        <v>1.44055864</v>
      </c>
      <c r="L22" s="20" t="n">
        <v>0.74842502</v>
      </c>
      <c r="M22" s="18" t="n">
        <v>0</v>
      </c>
      <c r="N22" s="20" t="n">
        <v>0</v>
      </c>
      <c r="O22" s="18" t="n">
        <v>0</v>
      </c>
      <c r="P22" s="20" t="n">
        <v>0</v>
      </c>
      <c r="Q22" s="18" t="n">
        <v>0</v>
      </c>
      <c r="R22" s="20" t="n">
        <v>0</v>
      </c>
    </row>
    <row r="23" spans="1:18">
      <c r="A23" s="15" t="s">
        <v>365</v>
      </c>
      <c r="B23" s="17" t="n">
        <v>5791</v>
      </c>
      <c r="C23" s="18">
        <f>(5101.0/B23*100)</f>
        <v/>
      </c>
      <c r="D23" s="19" t="n">
        <v>690</v>
      </c>
      <c r="E23" s="18" t="n">
        <v>50.54716193</v>
      </c>
      <c r="F23" s="20" t="n">
        <v>2.3882598</v>
      </c>
      <c r="G23" s="18" t="n">
        <v>48.7988408</v>
      </c>
      <c r="H23" s="20" t="n">
        <v>2.42077084</v>
      </c>
      <c r="I23" s="18" t="s">
        <v>349</v>
      </c>
      <c r="J23" s="20" t="s">
        <v>349</v>
      </c>
      <c r="K23" s="18" t="n">
        <v>0.65399727</v>
      </c>
      <c r="L23" s="20" t="n">
        <v>0.45171848</v>
      </c>
      <c r="M23" s="18" t="n">
        <v>0</v>
      </c>
      <c r="N23" s="20" t="n">
        <v>0</v>
      </c>
      <c r="O23" s="18" t="n">
        <v>0</v>
      </c>
      <c r="P23" s="20" t="n">
        <v>0</v>
      </c>
      <c r="Q23" s="18" t="n">
        <v>0</v>
      </c>
      <c r="R23" s="20" t="n">
        <v>0</v>
      </c>
    </row>
    <row r="24" spans="1:18">
      <c r="A24" s="15" t="s">
        <v>366</v>
      </c>
      <c r="B24" s="17" t="n">
        <v>3338</v>
      </c>
      <c r="C24" s="18">
        <f>(2917.0/B24*100)</f>
        <v/>
      </c>
      <c r="D24" s="19" t="n">
        <v>421</v>
      </c>
      <c r="E24" s="18" t="n">
        <v>37.87661695</v>
      </c>
      <c r="F24" s="20" t="n">
        <v>2.49651836</v>
      </c>
      <c r="G24" s="18" t="n">
        <v>60.44781503</v>
      </c>
      <c r="H24" s="20" t="n">
        <v>2.47756132</v>
      </c>
      <c r="I24" s="18" t="s">
        <v>349</v>
      </c>
      <c r="J24" s="20" t="s">
        <v>349</v>
      </c>
      <c r="K24" s="18" t="n">
        <v>1.67556802</v>
      </c>
      <c r="L24" s="20" t="n">
        <v>0.62611991</v>
      </c>
      <c r="M24" s="18" t="n">
        <v>0</v>
      </c>
      <c r="N24" s="20" t="n">
        <v>0</v>
      </c>
      <c r="O24" s="18" t="n">
        <v>0</v>
      </c>
      <c r="P24" s="20" t="n">
        <v>0</v>
      </c>
      <c r="Q24" s="18" t="n">
        <v>0</v>
      </c>
      <c r="R24" s="20" t="n">
        <v>0</v>
      </c>
    </row>
    <row r="25" spans="1:18">
      <c r="A25" s="15" t="s">
        <v>367</v>
      </c>
      <c r="B25" s="17" t="n">
        <v>2912</v>
      </c>
      <c r="C25" s="18">
        <f>(2565.0/B25*100)</f>
        <v/>
      </c>
      <c r="D25" s="19" t="n">
        <v>347</v>
      </c>
      <c r="E25" s="18" t="n">
        <v>50.53781792</v>
      </c>
      <c r="F25" s="20" t="n">
        <v>2.53752871</v>
      </c>
      <c r="G25" s="18" t="n">
        <v>48.87669909</v>
      </c>
      <c r="H25" s="20" t="n">
        <v>2.4403097</v>
      </c>
      <c r="I25" s="18" t="s">
        <v>349</v>
      </c>
      <c r="J25" s="20" t="s">
        <v>349</v>
      </c>
      <c r="K25" s="18" t="n">
        <v>0.58548298</v>
      </c>
      <c r="L25" s="20" t="n">
        <v>0.41419648</v>
      </c>
      <c r="M25" s="18" t="n">
        <v>0</v>
      </c>
      <c r="N25" s="20" t="n">
        <v>0</v>
      </c>
      <c r="O25" s="18" t="n">
        <v>0</v>
      </c>
      <c r="P25" s="20" t="n">
        <v>0</v>
      </c>
      <c r="Q25" s="18" t="n">
        <v>0</v>
      </c>
      <c r="R25" s="20" t="n">
        <v>0</v>
      </c>
    </row>
    <row r="26" spans="1:18">
      <c r="A26" s="15" t="s">
        <v>368</v>
      </c>
      <c r="B26" s="17" t="n">
        <v>2450</v>
      </c>
      <c r="C26" s="18">
        <f>(2165.0/B26*100)</f>
        <v/>
      </c>
      <c r="D26" s="19" t="n">
        <v>285</v>
      </c>
      <c r="E26" s="18" t="n">
        <v>47.8743981</v>
      </c>
      <c r="F26" s="20" t="n">
        <v>3.03524187</v>
      </c>
      <c r="G26" s="18" t="n">
        <v>51.53351799</v>
      </c>
      <c r="H26" s="20" t="n">
        <v>3.03668558</v>
      </c>
      <c r="I26" s="18" t="s">
        <v>349</v>
      </c>
      <c r="J26" s="20" t="s">
        <v>349</v>
      </c>
      <c r="K26" s="18" t="n">
        <v>0.59208391</v>
      </c>
      <c r="L26" s="20" t="n">
        <v>0.4189822</v>
      </c>
      <c r="M26" s="18" t="n">
        <v>0</v>
      </c>
      <c r="N26" s="20" t="n">
        <v>0</v>
      </c>
      <c r="O26" s="18" t="n">
        <v>0</v>
      </c>
      <c r="P26" s="20" t="n">
        <v>0</v>
      </c>
      <c r="Q26" s="18" t="n">
        <v>0</v>
      </c>
      <c r="R26" s="20" t="n">
        <v>0</v>
      </c>
    </row>
    <row r="27" spans="1:18">
      <c r="A27" s="15" t="s">
        <v>369</v>
      </c>
      <c r="B27" s="17" t="n">
        <v>2616</v>
      </c>
      <c r="C27" s="18">
        <f>(2295.0/B27*100)</f>
        <v/>
      </c>
      <c r="D27" s="19" t="n">
        <v>321</v>
      </c>
      <c r="E27" s="18" t="n">
        <v>52.64880196</v>
      </c>
      <c r="F27" s="20" t="n">
        <v>2.75247267</v>
      </c>
      <c r="G27" s="18" t="n">
        <v>44.84392258</v>
      </c>
      <c r="H27" s="20" t="n">
        <v>2.70188319</v>
      </c>
      <c r="I27" s="18" t="s">
        <v>349</v>
      </c>
      <c r="J27" s="20" t="s">
        <v>349</v>
      </c>
      <c r="K27" s="18" t="n">
        <v>2.50727546</v>
      </c>
      <c r="L27" s="20" t="n">
        <v>0.7727848899999999</v>
      </c>
      <c r="M27" s="18" t="n">
        <v>0</v>
      </c>
      <c r="N27" s="20" t="n">
        <v>0</v>
      </c>
      <c r="O27" s="18" t="n">
        <v>0</v>
      </c>
      <c r="P27" s="20" t="n">
        <v>0</v>
      </c>
      <c r="Q27" s="18" t="n">
        <v>0</v>
      </c>
      <c r="R27" s="20" t="n">
        <v>0</v>
      </c>
    </row>
    <row r="28" spans="1:18">
      <c r="A28" s="15" t="s">
        <v>370</v>
      </c>
      <c r="B28" s="17" t="n">
        <v>3765</v>
      </c>
      <c r="C28" s="18">
        <f>(3377.0/B28*100)</f>
        <v/>
      </c>
      <c r="D28" s="19" t="n">
        <v>388</v>
      </c>
      <c r="E28" s="18" t="n">
        <v>68.18414337</v>
      </c>
      <c r="F28" s="20" t="n">
        <v>2.93536285</v>
      </c>
      <c r="G28" s="18" t="n">
        <v>29.74348505</v>
      </c>
      <c r="H28" s="20" t="n">
        <v>2.87480684</v>
      </c>
      <c r="I28" s="18" t="s">
        <v>349</v>
      </c>
      <c r="J28" s="20" t="s">
        <v>349</v>
      </c>
      <c r="K28" s="18" t="n">
        <v>2.07237158</v>
      </c>
      <c r="L28" s="20" t="n">
        <v>0.87256556</v>
      </c>
      <c r="M28" s="18" t="n">
        <v>0</v>
      </c>
      <c r="N28" s="20" t="n">
        <v>0</v>
      </c>
      <c r="O28" s="18" t="n">
        <v>0</v>
      </c>
      <c r="P28" s="20" t="n">
        <v>0</v>
      </c>
      <c r="Q28" s="18" t="n">
        <v>0</v>
      </c>
      <c r="R28" s="20" t="n">
        <v>0</v>
      </c>
    </row>
    <row r="29" spans="1:18">
      <c r="A29" s="15" t="s">
        <v>371</v>
      </c>
      <c r="B29" s="17" t="n">
        <v>2685</v>
      </c>
      <c r="C29" s="18">
        <f>(2388.0/B29*100)</f>
        <v/>
      </c>
      <c r="D29" s="19" t="n">
        <v>297</v>
      </c>
      <c r="E29" s="18" t="n">
        <v>43.09890139</v>
      </c>
      <c r="F29" s="20" t="n">
        <v>3.14693763</v>
      </c>
      <c r="G29" s="18" t="n">
        <v>56.5566828</v>
      </c>
      <c r="H29" s="20" t="n">
        <v>3.20674319</v>
      </c>
      <c r="I29" s="18" t="s">
        <v>349</v>
      </c>
      <c r="J29" s="20" t="s">
        <v>349</v>
      </c>
      <c r="K29" s="18" t="n">
        <v>0.34441581</v>
      </c>
      <c r="L29" s="20" t="n">
        <v>0.34410205</v>
      </c>
      <c r="M29" s="18" t="n">
        <v>0</v>
      </c>
      <c r="N29" s="20" t="n">
        <v>0</v>
      </c>
      <c r="O29" s="18" t="n">
        <v>0</v>
      </c>
      <c r="P29" s="20" t="n">
        <v>0</v>
      </c>
      <c r="Q29" s="18" t="n">
        <v>0</v>
      </c>
      <c r="R29" s="20" t="n">
        <v>0</v>
      </c>
    </row>
    <row r="30" spans="1:18">
      <c r="A30" s="15" t="s">
        <v>372</v>
      </c>
      <c r="B30" s="17" t="n">
        <v>2263</v>
      </c>
      <c r="C30" s="18">
        <f>(1992.0/B30*100)</f>
        <v/>
      </c>
      <c r="D30" s="19" t="n">
        <v>271</v>
      </c>
      <c r="E30" s="18" t="n">
        <v>53.79834013</v>
      </c>
      <c r="F30" s="20" t="n">
        <v>3.1336021</v>
      </c>
      <c r="G30" s="18" t="n">
        <v>44.20235521</v>
      </c>
      <c r="H30" s="20" t="n">
        <v>3.14274454</v>
      </c>
      <c r="I30" s="18" t="s">
        <v>349</v>
      </c>
      <c r="J30" s="20" t="s">
        <v>349</v>
      </c>
      <c r="K30" s="18" t="n">
        <v>1.99930466</v>
      </c>
      <c r="L30" s="20" t="n">
        <v>0.90913872</v>
      </c>
      <c r="M30" s="18" t="n">
        <v>0</v>
      </c>
      <c r="N30" s="20" t="n">
        <v>0</v>
      </c>
      <c r="O30" s="18" t="n">
        <v>0</v>
      </c>
      <c r="P30" s="20" t="n">
        <v>0</v>
      </c>
      <c r="Q30" s="18" t="n">
        <v>0</v>
      </c>
      <c r="R30" s="20" t="n">
        <v>0</v>
      </c>
    </row>
    <row r="31" spans="1:18">
      <c r="A31" s="15" t="s">
        <v>373</v>
      </c>
      <c r="B31" s="17" t="n">
        <v>2750</v>
      </c>
      <c r="C31" s="18">
        <f>(2418.0/B31*100)</f>
        <v/>
      </c>
      <c r="D31" s="19" t="n">
        <v>332</v>
      </c>
      <c r="E31" s="18" t="n">
        <v>46.86689715</v>
      </c>
      <c r="F31" s="20" t="n">
        <v>2.78271114</v>
      </c>
      <c r="G31" s="18" t="n">
        <v>51.92522198</v>
      </c>
      <c r="H31" s="20" t="n">
        <v>2.82929204</v>
      </c>
      <c r="I31" s="18" t="s">
        <v>349</v>
      </c>
      <c r="J31" s="20" t="s">
        <v>349</v>
      </c>
      <c r="K31" s="18" t="n">
        <v>1.20788087</v>
      </c>
      <c r="L31" s="20" t="n">
        <v>0.58514967</v>
      </c>
      <c r="M31" s="18" t="n">
        <v>0</v>
      </c>
      <c r="N31" s="20" t="n">
        <v>0</v>
      </c>
      <c r="O31" s="18" t="n">
        <v>0</v>
      </c>
      <c r="P31" s="20" t="n">
        <v>0</v>
      </c>
      <c r="Q31" s="18" t="n">
        <v>0</v>
      </c>
      <c r="R31" s="20" t="n">
        <v>0</v>
      </c>
    </row>
    <row r="32" spans="1:18">
      <c r="A32" s="15" t="s">
        <v>374</v>
      </c>
      <c r="B32" s="17" t="n">
        <v>2269</v>
      </c>
      <c r="C32" s="18">
        <f>(1873.0/B32*100)</f>
        <v/>
      </c>
      <c r="D32" s="19" t="n">
        <v>396</v>
      </c>
      <c r="E32" s="18" t="n">
        <v>47.07934763</v>
      </c>
      <c r="F32" s="20" t="n">
        <v>2.38679607</v>
      </c>
      <c r="G32" s="18" t="n">
        <v>52.45420765</v>
      </c>
      <c r="H32" s="20" t="n">
        <v>2.41068399</v>
      </c>
      <c r="I32" s="18" t="s">
        <v>349</v>
      </c>
      <c r="J32" s="20" t="s">
        <v>349</v>
      </c>
      <c r="K32" s="18" t="n">
        <v>0.46644472</v>
      </c>
      <c r="L32" s="20" t="n">
        <v>0.32513911</v>
      </c>
      <c r="M32" s="18" t="n">
        <v>0</v>
      </c>
      <c r="N32" s="20" t="n">
        <v>0</v>
      </c>
      <c r="O32" s="18" t="n">
        <v>0</v>
      </c>
      <c r="P32" s="20" t="n">
        <v>0</v>
      </c>
      <c r="Q32" s="18" t="n">
        <v>0</v>
      </c>
      <c r="R32" s="20" t="n">
        <v>0</v>
      </c>
    </row>
    <row r="33" spans="1:18">
      <c r="A33" s="15" t="s">
        <v>375</v>
      </c>
      <c r="B33" s="17" t="n">
        <v>3674</v>
      </c>
      <c r="C33" s="18">
        <f>(3249.0/B33*100)</f>
        <v/>
      </c>
      <c r="D33" s="19" t="n">
        <v>425</v>
      </c>
      <c r="E33" s="18" t="n">
        <v>57.17278795</v>
      </c>
      <c r="F33" s="20" t="n">
        <v>2.6460683</v>
      </c>
      <c r="G33" s="18" t="n">
        <v>40.79997073</v>
      </c>
      <c r="H33" s="20" t="n">
        <v>2.6106929</v>
      </c>
      <c r="I33" s="18" t="s">
        <v>349</v>
      </c>
      <c r="J33" s="20" t="s">
        <v>349</v>
      </c>
      <c r="K33" s="18" t="n">
        <v>2.02724132</v>
      </c>
      <c r="L33" s="20" t="n">
        <v>1.03446722</v>
      </c>
      <c r="M33" s="18" t="n">
        <v>0</v>
      </c>
      <c r="N33" s="20" t="n">
        <v>0</v>
      </c>
      <c r="O33" s="18" t="n">
        <v>0</v>
      </c>
      <c r="P33" s="20" t="n">
        <v>0</v>
      </c>
      <c r="Q33" s="18" t="n">
        <v>0</v>
      </c>
      <c r="R33" s="20" t="n">
        <v>0</v>
      </c>
    </row>
    <row r="34" spans="1:18">
      <c r="A34" s="15" t="s">
        <v>376</v>
      </c>
      <c r="B34" s="17" t="n">
        <v>3315</v>
      </c>
      <c r="C34" s="18">
        <f>(2908.0/B34*100)</f>
        <v/>
      </c>
      <c r="D34" s="19" t="n">
        <v>407</v>
      </c>
      <c r="E34" s="18" t="n">
        <v>43.65309453</v>
      </c>
      <c r="F34" s="20" t="n">
        <v>2.72754457</v>
      </c>
      <c r="G34" s="18" t="n">
        <v>55.28932105</v>
      </c>
      <c r="H34" s="20" t="n">
        <v>2.73548203</v>
      </c>
      <c r="I34" s="18" t="s">
        <v>349</v>
      </c>
      <c r="J34" s="20" t="s">
        <v>349</v>
      </c>
      <c r="K34" s="18" t="n">
        <v>1.05758442</v>
      </c>
      <c r="L34" s="20" t="n">
        <v>0.48635201</v>
      </c>
      <c r="M34" s="18" t="n">
        <v>0</v>
      </c>
      <c r="N34" s="20" t="n">
        <v>0</v>
      </c>
      <c r="O34" s="18" t="n">
        <v>0</v>
      </c>
      <c r="P34" s="20" t="n">
        <v>0</v>
      </c>
      <c r="Q34" s="18" t="n">
        <v>0</v>
      </c>
      <c r="R34" s="20" t="n">
        <v>0</v>
      </c>
    </row>
    <row r="35" spans="1:18">
      <c r="A35" s="15" t="s">
        <v>377</v>
      </c>
      <c r="B35" s="17" t="n">
        <v>3505</v>
      </c>
      <c r="C35" s="18">
        <f>(3063.0/B35*100)</f>
        <v/>
      </c>
      <c r="D35" s="19" t="n">
        <v>442</v>
      </c>
      <c r="E35" s="18" t="n">
        <v>38.67178938</v>
      </c>
      <c r="F35" s="20" t="n">
        <v>2.74530965</v>
      </c>
      <c r="G35" s="18" t="n">
        <v>60.47694861</v>
      </c>
      <c r="H35" s="20" t="n">
        <v>2.78245945</v>
      </c>
      <c r="I35" s="18" t="s">
        <v>349</v>
      </c>
      <c r="J35" s="20" t="s">
        <v>349</v>
      </c>
      <c r="K35" s="18" t="n">
        <v>0.851262</v>
      </c>
      <c r="L35" s="20" t="n">
        <v>0.37705312</v>
      </c>
      <c r="M35" s="18" t="n">
        <v>0</v>
      </c>
      <c r="N35" s="20" t="n">
        <v>0</v>
      </c>
      <c r="O35" s="18" t="n">
        <v>0</v>
      </c>
      <c r="P35" s="20" t="n">
        <v>0</v>
      </c>
      <c r="Q35" s="18" t="n">
        <v>0</v>
      </c>
      <c r="R35" s="20" t="n">
        <v>0</v>
      </c>
    </row>
    <row r="36" spans="1:18">
      <c r="A36" s="15" t="s">
        <v>378</v>
      </c>
      <c r="B36" s="17" t="n">
        <v>3332</v>
      </c>
      <c r="C36" s="18">
        <f>(2935.0/B36*100)</f>
        <v/>
      </c>
      <c r="D36" s="19" t="n">
        <v>397</v>
      </c>
      <c r="E36" s="18" t="n">
        <v>47.32883348</v>
      </c>
      <c r="F36" s="20" t="n">
        <v>3.05203031</v>
      </c>
      <c r="G36" s="18" t="n">
        <v>50.84350049</v>
      </c>
      <c r="H36" s="20" t="n">
        <v>2.98096536</v>
      </c>
      <c r="I36" s="18" t="s">
        <v>349</v>
      </c>
      <c r="J36" s="20" t="s">
        <v>349</v>
      </c>
      <c r="K36" s="18" t="n">
        <v>1.82766603</v>
      </c>
      <c r="L36" s="20" t="n">
        <v>0.68230398</v>
      </c>
      <c r="M36" s="18" t="n">
        <v>0</v>
      </c>
      <c r="N36" s="20" t="n">
        <v>0</v>
      </c>
      <c r="O36" s="18" t="n">
        <v>0</v>
      </c>
      <c r="P36" s="20" t="n">
        <v>0</v>
      </c>
      <c r="Q36" s="18" t="n">
        <v>0</v>
      </c>
      <c r="R36" s="20" t="n">
        <v>0</v>
      </c>
    </row>
    <row r="37" spans="1:18">
      <c r="A37" s="15" t="s">
        <v>379</v>
      </c>
      <c r="B37" s="17" t="n">
        <v>2727</v>
      </c>
      <c r="C37" s="18">
        <f>(2411.0/B37*100)</f>
        <v/>
      </c>
      <c r="D37" s="19" t="n">
        <v>316</v>
      </c>
      <c r="E37" s="18" t="n">
        <v>52.49685518</v>
      </c>
      <c r="F37" s="20" t="n">
        <v>2.79680103</v>
      </c>
      <c r="G37" s="18" t="n">
        <v>44.9331141</v>
      </c>
      <c r="H37" s="20" t="n">
        <v>3.0530456</v>
      </c>
      <c r="I37" s="18" t="s">
        <v>349</v>
      </c>
      <c r="J37" s="20" t="s">
        <v>349</v>
      </c>
      <c r="K37" s="18" t="n">
        <v>2.57003071</v>
      </c>
      <c r="L37" s="20" t="n">
        <v>0.98539645</v>
      </c>
      <c r="M37" s="18" t="n">
        <v>0</v>
      </c>
      <c r="N37" s="20" t="n">
        <v>0</v>
      </c>
      <c r="O37" s="18" t="n">
        <v>0</v>
      </c>
      <c r="P37" s="20" t="n">
        <v>0</v>
      </c>
      <c r="Q37" s="18" t="n">
        <v>0</v>
      </c>
      <c r="R37" s="20" t="n">
        <v>0</v>
      </c>
    </row>
    <row r="38" spans="1:18">
      <c r="A38" s="15" t="s">
        <v>380</v>
      </c>
      <c r="B38" s="17" t="n">
        <v>3053</v>
      </c>
      <c r="C38" s="18">
        <f>(2592.0/B38*100)</f>
        <v/>
      </c>
      <c r="D38" s="19" t="n">
        <v>461</v>
      </c>
      <c r="E38" s="18" t="n">
        <v>36.51584173</v>
      </c>
      <c r="F38" s="20" t="n">
        <v>2.53834728</v>
      </c>
      <c r="G38" s="18" t="n">
        <v>61.77835647</v>
      </c>
      <c r="H38" s="20" t="n">
        <v>2.61682288</v>
      </c>
      <c r="I38" s="18" t="s">
        <v>349</v>
      </c>
      <c r="J38" s="20" t="s">
        <v>349</v>
      </c>
      <c r="K38" s="18" t="n">
        <v>1.7058018</v>
      </c>
      <c r="L38" s="20" t="n">
        <v>0.62962592</v>
      </c>
      <c r="M38" s="18" t="n">
        <v>0</v>
      </c>
      <c r="N38" s="20" t="n">
        <v>0</v>
      </c>
      <c r="O38" s="18" t="n">
        <v>0</v>
      </c>
      <c r="P38" s="20" t="n">
        <v>0</v>
      </c>
      <c r="Q38" s="18" t="n">
        <v>0</v>
      </c>
      <c r="R38" s="20" t="n">
        <v>0</v>
      </c>
    </row>
    <row r="39" spans="1:18">
      <c r="A39" s="15" t="s">
        <v>381</v>
      </c>
      <c r="B39" s="17" t="n">
        <v>2957</v>
      </c>
      <c r="C39" s="18">
        <f>(2593.0/B39*100)</f>
        <v/>
      </c>
      <c r="D39" s="19" t="n">
        <v>364</v>
      </c>
      <c r="E39" s="18" t="n">
        <v>58.12155805</v>
      </c>
      <c r="F39" s="20" t="n">
        <v>2.56449739</v>
      </c>
      <c r="G39" s="18" t="n">
        <v>40.87830548</v>
      </c>
      <c r="H39" s="20" t="n">
        <v>2.57627553</v>
      </c>
      <c r="I39" s="18" t="s">
        <v>349</v>
      </c>
      <c r="J39" s="20" t="s">
        <v>349</v>
      </c>
      <c r="K39" s="18" t="n">
        <v>1.00013647</v>
      </c>
      <c r="L39" s="20" t="n">
        <v>0.5847413299999999</v>
      </c>
      <c r="M39" s="18" t="n">
        <v>0</v>
      </c>
      <c r="N39" s="20" t="n">
        <v>0</v>
      </c>
      <c r="O39" s="18" t="n">
        <v>0</v>
      </c>
      <c r="P39" s="20" t="n">
        <v>0</v>
      </c>
      <c r="Q39" s="18" t="n">
        <v>0</v>
      </c>
      <c r="R39" s="20" t="n">
        <v>0</v>
      </c>
    </row>
    <row r="40" spans="1:18">
      <c r="A40" s="15" t="s">
        <v>382</v>
      </c>
      <c r="B40" s="17" t="n">
        <v>7235</v>
      </c>
      <c r="C40" s="18">
        <f>(6337.0/B40*100)</f>
        <v/>
      </c>
      <c r="D40" s="19" t="n">
        <v>898</v>
      </c>
      <c r="E40" s="18" t="n">
        <v>53.75598289</v>
      </c>
      <c r="F40" s="20" t="n">
        <v>2.45463034</v>
      </c>
      <c r="G40" s="18" t="n">
        <v>45.52024857</v>
      </c>
      <c r="H40" s="20" t="n">
        <v>2.47134539</v>
      </c>
      <c r="I40" s="18" t="s">
        <v>349</v>
      </c>
      <c r="J40" s="20" t="s">
        <v>349</v>
      </c>
      <c r="K40" s="18" t="n">
        <v>0.72376854</v>
      </c>
      <c r="L40" s="20" t="n">
        <v>0.31629335</v>
      </c>
      <c r="M40" s="18" t="n">
        <v>0</v>
      </c>
      <c r="N40" s="20" t="n">
        <v>0</v>
      </c>
      <c r="O40" s="18" t="n">
        <v>0</v>
      </c>
      <c r="P40" s="20" t="n">
        <v>0</v>
      </c>
      <c r="Q40" s="18" t="n">
        <v>0</v>
      </c>
      <c r="R40" s="20" t="n">
        <v>0</v>
      </c>
    </row>
    <row r="41" spans="1:18">
      <c r="A41" s="15" t="s">
        <v>383</v>
      </c>
      <c r="B41" s="17" t="n">
        <v>2858</v>
      </c>
      <c r="C41" s="18">
        <f>(2517.0/B41*100)</f>
        <v/>
      </c>
      <c r="D41" s="19" t="n">
        <v>341</v>
      </c>
      <c r="E41" s="18" t="n">
        <v>56.74239621</v>
      </c>
      <c r="F41" s="20" t="n">
        <v>3.18518549</v>
      </c>
      <c r="G41" s="18" t="n">
        <v>41.93245384</v>
      </c>
      <c r="H41" s="20" t="n">
        <v>3.06136387</v>
      </c>
      <c r="I41" s="18" t="s">
        <v>349</v>
      </c>
      <c r="J41" s="20" t="s">
        <v>349</v>
      </c>
      <c r="K41" s="18" t="n">
        <v>1.32514995</v>
      </c>
      <c r="L41" s="20" t="n">
        <v>0.92365011</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(9994.0/B46*100)</f>
        <v/>
      </c>
      <c r="D46" s="19" t="n">
        <v>1074</v>
      </c>
      <c r="E46" s="18" t="n">
        <v>65.28285047999999</v>
      </c>
      <c r="F46" s="20" t="n">
        <v>1.70011853</v>
      </c>
      <c r="G46" s="18" t="n">
        <v>32.44861424</v>
      </c>
      <c r="H46" s="20" t="n">
        <v>1.60995161</v>
      </c>
      <c r="I46" s="18" t="s">
        <v>349</v>
      </c>
      <c r="J46" s="20" t="s">
        <v>349</v>
      </c>
      <c r="K46" s="18" t="n">
        <v>2.26853529</v>
      </c>
      <c r="L46" s="20" t="n">
        <v>0.49469793</v>
      </c>
      <c r="M46" s="18" t="n">
        <v>0</v>
      </c>
      <c r="N46" s="20" t="n">
        <v>0</v>
      </c>
      <c r="O46" s="18" t="n">
        <v>0</v>
      </c>
      <c r="P46" s="20" t="n">
        <v>0</v>
      </c>
      <c r="Q46" s="18" t="n">
        <v>0</v>
      </c>
      <c r="R46" s="20" t="n">
        <v>0</v>
      </c>
    </row>
    <row r="47" spans="1:18">
      <c r="A47" s="15" t="s">
        <v>389</v>
      </c>
      <c r="B47" s="17" t="n">
        <v>3105</v>
      </c>
      <c r="C47" s="18">
        <f>(2739.0/B47*100)</f>
        <v/>
      </c>
      <c r="D47" s="19" t="n">
        <v>366</v>
      </c>
      <c r="E47" s="18" t="n">
        <v>53.71982359</v>
      </c>
      <c r="F47" s="20" t="n">
        <v>2.97885859</v>
      </c>
      <c r="G47" s="18" t="n">
        <v>44.98707592</v>
      </c>
      <c r="H47" s="20" t="n">
        <v>2.96299583</v>
      </c>
      <c r="I47" s="18" t="s">
        <v>349</v>
      </c>
      <c r="J47" s="20" t="s">
        <v>349</v>
      </c>
      <c r="K47" s="18" t="n">
        <v>1.2931005</v>
      </c>
      <c r="L47" s="20" t="n">
        <v>0.58978869</v>
      </c>
      <c r="M47" s="18" t="n">
        <v>0</v>
      </c>
      <c r="N47" s="20" t="n">
        <v>0</v>
      </c>
      <c r="O47" s="18" t="n">
        <v>0</v>
      </c>
      <c r="P47" s="20" t="n">
        <v>0</v>
      </c>
      <c r="Q47" s="18" t="n">
        <v>0</v>
      </c>
      <c r="R47" s="20" t="n">
        <v>0</v>
      </c>
    </row>
    <row r="48" spans="1:18">
      <c r="A48" s="15" t="s">
        <v>390</v>
      </c>
      <c r="B48" s="17" t="n">
        <v>5159</v>
      </c>
      <c r="C48" s="18">
        <f>(4532.0/B48*100)</f>
        <v/>
      </c>
      <c r="D48" s="19" t="n">
        <v>627</v>
      </c>
      <c r="E48" s="18" t="n">
        <v>30.29660545</v>
      </c>
      <c r="F48" s="20" t="n">
        <v>2.34778978</v>
      </c>
      <c r="G48" s="18" t="n">
        <v>68.97941586</v>
      </c>
      <c r="H48" s="20" t="n">
        <v>2.34244546</v>
      </c>
      <c r="I48" s="18" t="s">
        <v>349</v>
      </c>
      <c r="J48" s="20" t="s">
        <v>349</v>
      </c>
      <c r="K48" s="18" t="n">
        <v>0.72397869</v>
      </c>
      <c r="L48" s="20" t="n">
        <v>0.40457507</v>
      </c>
      <c r="M48" s="18" t="n">
        <v>0</v>
      </c>
      <c r="N48" s="20" t="n">
        <v>0</v>
      </c>
      <c r="O48" s="18" t="n">
        <v>0</v>
      </c>
      <c r="P48" s="20" t="n">
        <v>0</v>
      </c>
      <c r="Q48" s="18" t="n">
        <v>0</v>
      </c>
      <c r="R48" s="20" t="n">
        <v>0</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(4964.0/B50*100)</f>
        <v/>
      </c>
      <c r="D50" s="19" t="n">
        <v>673</v>
      </c>
      <c r="E50" s="18" t="n">
        <v>68.8428356</v>
      </c>
      <c r="F50" s="20" t="n">
        <v>2.6403012</v>
      </c>
      <c r="G50" s="18" t="n">
        <v>29.50053376</v>
      </c>
      <c r="H50" s="20" t="n">
        <v>2.41210931</v>
      </c>
      <c r="I50" s="18" t="s">
        <v>349</v>
      </c>
      <c r="J50" s="20" t="s">
        <v>349</v>
      </c>
      <c r="K50" s="18" t="n">
        <v>1.65663064</v>
      </c>
      <c r="L50" s="20" t="n">
        <v>0.60480742</v>
      </c>
      <c r="M50" s="18" t="n">
        <v>0</v>
      </c>
      <c r="N50" s="20" t="n">
        <v>0</v>
      </c>
      <c r="O50" s="18" t="n">
        <v>0</v>
      </c>
      <c r="P50" s="20" t="n">
        <v>0</v>
      </c>
      <c r="Q50" s="18" t="n">
        <v>0</v>
      </c>
      <c r="R50" s="20" t="n">
        <v>0</v>
      </c>
    </row>
    <row r="51" spans="1:18">
      <c r="A51" s="15" t="s">
        <v>393</v>
      </c>
      <c r="B51" s="17" t="n">
        <v>3372</v>
      </c>
      <c r="C51" s="18">
        <f>(3039.0/B51*100)</f>
        <v/>
      </c>
      <c r="D51" s="19" t="n">
        <v>333</v>
      </c>
      <c r="E51" s="18" t="n">
        <v>65.08981505</v>
      </c>
      <c r="F51" s="20" t="n">
        <v>2.90026078</v>
      </c>
      <c r="G51" s="18" t="n">
        <v>34.31108156</v>
      </c>
      <c r="H51" s="20" t="n">
        <v>2.87570739</v>
      </c>
      <c r="I51" s="18" t="s">
        <v>349</v>
      </c>
      <c r="J51" s="20" t="s">
        <v>349</v>
      </c>
      <c r="K51" s="18" t="n">
        <v>0.5991034</v>
      </c>
      <c r="L51" s="20" t="n">
        <v>0.41480059</v>
      </c>
      <c r="M51" s="18" t="n">
        <v>0</v>
      </c>
      <c r="N51" s="20" t="n">
        <v>0</v>
      </c>
      <c r="O51" s="18" t="n">
        <v>0</v>
      </c>
      <c r="P51" s="20" t="n">
        <v>0</v>
      </c>
      <c r="Q51" s="18" t="n">
        <v>0</v>
      </c>
      <c r="R51" s="20" t="n">
        <v>0</v>
      </c>
    </row>
    <row r="52" spans="1:18">
      <c r="A52" s="15" t="s">
        <v>394</v>
      </c>
      <c r="B52" s="17" t="n">
        <v>2796</v>
      </c>
      <c r="C52" s="18">
        <f>(2467.0/B52*100)</f>
        <v/>
      </c>
      <c r="D52" s="19" t="n">
        <v>329</v>
      </c>
      <c r="E52" s="18" t="n">
        <v>46.71186412</v>
      </c>
      <c r="F52" s="20" t="n">
        <v>2.43229337</v>
      </c>
      <c r="G52" s="18" t="n">
        <v>52.09033039</v>
      </c>
      <c r="H52" s="20" t="n">
        <v>2.50390407</v>
      </c>
      <c r="I52" s="18" t="s">
        <v>349</v>
      </c>
      <c r="J52" s="20" t="s">
        <v>349</v>
      </c>
      <c r="K52" s="18" t="n">
        <v>1.19780549</v>
      </c>
      <c r="L52" s="20" t="n">
        <v>0.53075195</v>
      </c>
      <c r="M52" s="18" t="n">
        <v>0</v>
      </c>
      <c r="N52" s="20" t="n">
        <v>0</v>
      </c>
      <c r="O52" s="18" t="n">
        <v>0</v>
      </c>
      <c r="P52" s="20" t="n">
        <v>0</v>
      </c>
      <c r="Q52" s="18" t="n">
        <v>0</v>
      </c>
      <c r="R52" s="20" t="n">
        <v>0</v>
      </c>
    </row>
    <row r="53" spans="1:18">
      <c r="A53" s="15" t="s">
        <v>395</v>
      </c>
      <c r="B53" s="17" t="n">
        <v>2811</v>
      </c>
      <c r="C53" s="18">
        <f>(2467.0/B53*100)</f>
        <v/>
      </c>
      <c r="D53" s="19" t="n">
        <v>344</v>
      </c>
      <c r="E53" s="18" t="n">
        <v>56.93449916</v>
      </c>
      <c r="F53" s="20" t="n">
        <v>2.60392431</v>
      </c>
      <c r="G53" s="18" t="n">
        <v>42.22656545</v>
      </c>
      <c r="H53" s="20" t="n">
        <v>2.64545121</v>
      </c>
      <c r="I53" s="18" t="s">
        <v>349</v>
      </c>
      <c r="J53" s="20" t="s">
        <v>349</v>
      </c>
      <c r="K53" s="18" t="n">
        <v>0.8389353899999999</v>
      </c>
      <c r="L53" s="20" t="n">
        <v>0.41735939</v>
      </c>
      <c r="M53" s="18" t="n">
        <v>0</v>
      </c>
      <c r="N53" s="20" t="n">
        <v>0</v>
      </c>
      <c r="O53" s="18" t="n">
        <v>0</v>
      </c>
      <c r="P53" s="20" t="n">
        <v>0</v>
      </c>
      <c r="Q53" s="18" t="n">
        <v>0</v>
      </c>
      <c r="R53" s="20" t="n">
        <v>0</v>
      </c>
    </row>
    <row r="54" spans="1:18">
      <c r="A54" s="15" t="s">
        <v>396</v>
      </c>
      <c r="B54" s="17" t="n">
        <v>2266</v>
      </c>
      <c r="C54" s="18">
        <f>(1886.0/B54*100)</f>
        <v/>
      </c>
      <c r="D54" s="19" t="n">
        <v>380</v>
      </c>
      <c r="E54" s="18" t="n">
        <v>70.48728152</v>
      </c>
      <c r="F54" s="20" t="n">
        <v>2.71081694</v>
      </c>
      <c r="G54" s="18" t="n">
        <v>15.48334563</v>
      </c>
      <c r="H54" s="20" t="n">
        <v>2.14505707</v>
      </c>
      <c r="I54" s="18" t="s">
        <v>349</v>
      </c>
      <c r="J54" s="20" t="s">
        <v>349</v>
      </c>
      <c r="K54" s="18" t="n">
        <v>14.02937284</v>
      </c>
      <c r="L54" s="20" t="n">
        <v>1.76115483</v>
      </c>
      <c r="M54" s="18" t="n">
        <v>0</v>
      </c>
      <c r="N54" s="20" t="n">
        <v>0</v>
      </c>
      <c r="O54" s="18" t="n">
        <v>0</v>
      </c>
      <c r="P54" s="20" t="n">
        <v>0</v>
      </c>
      <c r="Q54" s="18" t="n">
        <v>0</v>
      </c>
      <c r="R54" s="20" t="n">
        <v>0</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(2366.0/B56*100)</f>
        <v/>
      </c>
      <c r="D56" s="19" t="n">
        <v>318</v>
      </c>
      <c r="E56" s="18" t="n">
        <v>29.46446241</v>
      </c>
      <c r="F56" s="20" t="n">
        <v>2.57402061</v>
      </c>
      <c r="G56" s="18" t="n">
        <v>70.53553759</v>
      </c>
      <c r="H56" s="20" t="n">
        <v>2.57402061</v>
      </c>
      <c r="I56" s="18" t="s">
        <v>349</v>
      </c>
      <c r="J56" s="20" t="s">
        <v>349</v>
      </c>
      <c r="K56" s="18" t="n">
        <v>0</v>
      </c>
      <c r="L56" s="20" t="n">
        <v>0</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(2932.0/B61*100)</f>
        <v/>
      </c>
      <c r="D61" s="19" t="n">
        <v>392</v>
      </c>
      <c r="E61" s="18" t="n">
        <v>47.57446977</v>
      </c>
      <c r="F61" s="20" t="n">
        <v>2.77587312</v>
      </c>
      <c r="G61" s="18" t="n">
        <v>50.3385242</v>
      </c>
      <c r="H61" s="20" t="n">
        <v>2.74771121</v>
      </c>
      <c r="I61" s="18" t="s">
        <v>349</v>
      </c>
      <c r="J61" s="20" t="s">
        <v>349</v>
      </c>
      <c r="K61" s="18" t="n">
        <v>2.08700603</v>
      </c>
      <c r="L61" s="20" t="n">
        <v>0.76734324</v>
      </c>
      <c r="M61" s="18" t="n">
        <v>0</v>
      </c>
      <c r="N61" s="20" t="n">
        <v>0</v>
      </c>
      <c r="O61" s="18" t="n">
        <v>0</v>
      </c>
      <c r="P61" s="20" t="n">
        <v>0</v>
      </c>
      <c r="Q61" s="18" t="n">
        <v>0</v>
      </c>
      <c r="R61" s="20" t="n">
        <v>0</v>
      </c>
    </row>
    <row r="62" spans="1:18">
      <c r="A62" s="15" t="s">
        <v>404</v>
      </c>
      <c r="B62" s="17" t="n">
        <v>2246</v>
      </c>
      <c r="C62" s="18">
        <f>(2005.0/B62*100)</f>
        <v/>
      </c>
      <c r="D62" s="19" t="n">
        <v>241</v>
      </c>
      <c r="E62" s="18" t="n">
        <v>42.7223972</v>
      </c>
      <c r="F62" s="20" t="n">
        <v>3.09287085</v>
      </c>
      <c r="G62" s="18" t="n">
        <v>57.2776028</v>
      </c>
      <c r="H62" s="20" t="n">
        <v>3.09287085</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(2553.0/B66*100)</f>
        <v/>
      </c>
      <c r="D66" s="19" t="n">
        <v>341</v>
      </c>
      <c r="E66" s="18" t="n">
        <v>52.75984043</v>
      </c>
      <c r="F66" s="20" t="n">
        <v>2.61384063</v>
      </c>
      <c r="G66" s="18" t="n">
        <v>44.96268048</v>
      </c>
      <c r="H66" s="20" t="n">
        <v>2.41203518</v>
      </c>
      <c r="I66" s="18" t="s">
        <v>349</v>
      </c>
      <c r="J66" s="20" t="s">
        <v>349</v>
      </c>
      <c r="K66" s="18" t="n">
        <v>2.27747909</v>
      </c>
      <c r="L66" s="20" t="n">
        <v>0.89215807</v>
      </c>
      <c r="M66" s="18" t="n">
        <v>0</v>
      </c>
      <c r="N66" s="20" t="n">
        <v>0</v>
      </c>
      <c r="O66" s="18" t="n">
        <v>0</v>
      </c>
      <c r="P66" s="20" t="n">
        <v>0</v>
      </c>
      <c r="Q66" s="18" t="n">
        <v>0</v>
      </c>
      <c r="R66" s="20" t="n">
        <v>0</v>
      </c>
    </row>
    <row r="67" spans="1:18">
      <c r="A67" s="15" t="s">
        <v>409</v>
      </c>
      <c r="B67" s="17" t="n">
        <v>3511</v>
      </c>
      <c r="C67" s="18">
        <f>(3136.0/B67*100)</f>
        <v/>
      </c>
      <c r="D67" s="19" t="n">
        <v>375</v>
      </c>
      <c r="E67" s="18" t="n">
        <v>71.05765253</v>
      </c>
      <c r="F67" s="20" t="n">
        <v>2.2563397</v>
      </c>
      <c r="G67" s="18" t="n">
        <v>27.81648231</v>
      </c>
      <c r="H67" s="20" t="n">
        <v>2.22057262</v>
      </c>
      <c r="I67" s="18" t="s">
        <v>349</v>
      </c>
      <c r="J67" s="20" t="s">
        <v>349</v>
      </c>
      <c r="K67" s="18" t="n">
        <v>1.12586516</v>
      </c>
      <c r="L67" s="20" t="n">
        <v>0.5782436</v>
      </c>
      <c r="M67" s="18" t="n">
        <v>0</v>
      </c>
      <c r="N67" s="20" t="n">
        <v>0</v>
      </c>
      <c r="O67" s="18" t="n">
        <v>0</v>
      </c>
      <c r="P67" s="20" t="n">
        <v>0</v>
      </c>
      <c r="Q67" s="18" t="n">
        <v>0</v>
      </c>
      <c r="R67" s="20" t="n">
        <v>0</v>
      </c>
    </row>
    <row r="68" spans="1:18">
      <c r="A68" s="15" t="s">
        <v>410</v>
      </c>
      <c r="B68" s="17" t="n">
        <v>6049</v>
      </c>
      <c r="C68" s="18">
        <f>(5065.0/B68*100)</f>
        <v/>
      </c>
      <c r="D68" s="19" t="n">
        <v>984</v>
      </c>
      <c r="E68" s="18" t="n">
        <v>65.73670211</v>
      </c>
      <c r="F68" s="20" t="n">
        <v>1.51267808</v>
      </c>
      <c r="G68" s="18" t="n">
        <v>30.21311516</v>
      </c>
      <c r="H68" s="20" t="n">
        <v>1.42620919</v>
      </c>
      <c r="I68" s="18" t="s">
        <v>349</v>
      </c>
      <c r="J68" s="20" t="s">
        <v>349</v>
      </c>
      <c r="K68" s="18" t="n">
        <v>4.05018273</v>
      </c>
      <c r="L68" s="20" t="n">
        <v>0.59077785</v>
      </c>
      <c r="M68" s="18" t="n">
        <v>0</v>
      </c>
      <c r="N68" s="20" t="n">
        <v>0</v>
      </c>
      <c r="O68" s="18" t="n">
        <v>0</v>
      </c>
      <c r="P68" s="20" t="n">
        <v>0</v>
      </c>
      <c r="Q68" s="18" t="n">
        <v>0</v>
      </c>
      <c r="R68" s="20" t="n">
        <v>0</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(2611.0/B70*100)</f>
        <v/>
      </c>
      <c r="D70" s="19" t="n">
        <v>318</v>
      </c>
      <c r="E70" s="18" t="n">
        <v>49.22565596</v>
      </c>
      <c r="F70" s="20" t="n">
        <v>3.10175704</v>
      </c>
      <c r="G70" s="18" t="n">
        <v>49.59880671</v>
      </c>
      <c r="H70" s="20" t="n">
        <v>3.1950732</v>
      </c>
      <c r="I70" s="18" t="s">
        <v>349</v>
      </c>
      <c r="J70" s="20" t="s">
        <v>349</v>
      </c>
      <c r="K70" s="18" t="n">
        <v>1.17553732</v>
      </c>
      <c r="L70" s="20" t="n">
        <v>0.5765745799999999</v>
      </c>
      <c r="M70" s="18" t="n">
        <v>0</v>
      </c>
      <c r="N70" s="20" t="n">
        <v>0</v>
      </c>
      <c r="O70" s="18" t="n">
        <v>0</v>
      </c>
      <c r="P70" s="20" t="n">
        <v>0</v>
      </c>
      <c r="Q70" s="18" t="n">
        <v>0</v>
      </c>
      <c r="R70" s="20" t="n">
        <v>0</v>
      </c>
    </row>
    <row r="71" spans="1:18">
      <c r="A71" s="15" t="s">
        <v>413</v>
      </c>
      <c r="B71" s="17" t="n">
        <v>3142</v>
      </c>
      <c r="C71" s="18">
        <f>(2751.0/B71*100)</f>
        <v/>
      </c>
      <c r="D71" s="19" t="n">
        <v>391</v>
      </c>
      <c r="E71" s="18" t="n">
        <v>36.04175389</v>
      </c>
      <c r="F71" s="20" t="n">
        <v>2.7646439</v>
      </c>
      <c r="G71" s="18" t="n">
        <v>62.6733655</v>
      </c>
      <c r="H71" s="20" t="n">
        <v>2.78093132</v>
      </c>
      <c r="I71" s="18" t="s">
        <v>349</v>
      </c>
      <c r="J71" s="20" t="s">
        <v>349</v>
      </c>
      <c r="K71" s="18" t="n">
        <v>1.28488061</v>
      </c>
      <c r="L71" s="20" t="n">
        <v>0.5673508900000001</v>
      </c>
      <c r="M71" s="18" t="n">
        <v>0</v>
      </c>
      <c r="N71" s="20" t="n">
        <v>0</v>
      </c>
      <c r="O71" s="18" t="n">
        <v>0</v>
      </c>
      <c r="P71" s="20" t="n">
        <v>0</v>
      </c>
      <c r="Q71" s="18" t="n">
        <v>0</v>
      </c>
      <c r="R71" s="20" t="n">
        <v>0</v>
      </c>
    </row>
    <row r="72" spans="1:18">
      <c r="A72" s="15" t="s">
        <v>414</v>
      </c>
      <c r="B72" s="17" t="n">
        <v>3889</v>
      </c>
      <c r="C72" s="18">
        <f>(3403.0/B72*100)</f>
        <v/>
      </c>
      <c r="D72" s="19" t="n">
        <v>486</v>
      </c>
      <c r="E72" s="18" t="n">
        <v>38.40491937</v>
      </c>
      <c r="F72" s="20" t="n">
        <v>2.24415949</v>
      </c>
      <c r="G72" s="18" t="n">
        <v>61.31757348</v>
      </c>
      <c r="H72" s="20" t="n">
        <v>2.26344932</v>
      </c>
      <c r="I72" s="18" t="s">
        <v>349</v>
      </c>
      <c r="J72" s="20" t="s">
        <v>349</v>
      </c>
      <c r="K72" s="18" t="n">
        <v>0.27750715</v>
      </c>
      <c r="L72" s="20" t="n">
        <v>0.27761389</v>
      </c>
      <c r="M72" s="18" t="n">
        <v>0</v>
      </c>
      <c r="N72" s="20" t="n">
        <v>0</v>
      </c>
      <c r="O72" s="18" t="n">
        <v>0</v>
      </c>
      <c r="P72" s="20" t="n">
        <v>0</v>
      </c>
      <c r="Q72" s="18" t="n">
        <v>0</v>
      </c>
      <c r="R72" s="20" t="n">
        <v>0</v>
      </c>
    </row>
    <row r="73" spans="1:18">
      <c r="A73" s="15" t="s">
        <v>415</v>
      </c>
      <c r="B73" s="17" t="n">
        <v>3597</v>
      </c>
      <c r="C73" s="18">
        <f>(3169.0/B73*100)</f>
        <v/>
      </c>
      <c r="D73" s="19" t="n">
        <v>428</v>
      </c>
      <c r="E73" s="18" t="n">
        <v>68.74808954</v>
      </c>
      <c r="F73" s="20" t="n">
        <v>2.67930954</v>
      </c>
      <c r="G73" s="18" t="n">
        <v>30.55542594</v>
      </c>
      <c r="H73" s="20" t="n">
        <v>2.61513198</v>
      </c>
      <c r="I73" s="18" t="s">
        <v>349</v>
      </c>
      <c r="J73" s="20" t="s">
        <v>349</v>
      </c>
      <c r="K73" s="18" t="n">
        <v>0.6964845200000001</v>
      </c>
      <c r="L73" s="20" t="n">
        <v>0.4162589</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(2137.0/B75*100)</f>
        <v/>
      </c>
      <c r="D75" s="19" t="n">
        <v>269</v>
      </c>
      <c r="E75" s="18" t="n">
        <v>58.97544094</v>
      </c>
      <c r="F75" s="20" t="n">
        <v>3.23864622</v>
      </c>
      <c r="G75" s="18" t="n">
        <v>37.65126748</v>
      </c>
      <c r="H75" s="20" t="n">
        <v>3.30474572</v>
      </c>
      <c r="I75" s="18" t="s">
        <v>349</v>
      </c>
      <c r="J75" s="20" t="s">
        <v>349</v>
      </c>
      <c r="K75" s="18" t="n">
        <v>3.37329158</v>
      </c>
      <c r="L75" s="20" t="n">
        <v>1.06637199</v>
      </c>
      <c r="M75" s="18" t="n">
        <v>0</v>
      </c>
      <c r="N75" s="20" t="n">
        <v>0</v>
      </c>
      <c r="O75" s="18" t="n">
        <v>0</v>
      </c>
      <c r="P75" s="20" t="n">
        <v>0</v>
      </c>
      <c r="Q75" s="18" t="n">
        <v>0</v>
      </c>
      <c r="R75" s="20" t="n">
        <v>0</v>
      </c>
    </row>
    <row r="76" spans="1:18">
      <c r="A76" s="15" t="s">
        <v>418</v>
      </c>
      <c r="B76" s="17" t="n">
        <v>7052</v>
      </c>
      <c r="C76" s="18">
        <f>(6214.0/B76*100)</f>
        <v/>
      </c>
      <c r="D76" s="19" t="n">
        <v>838</v>
      </c>
      <c r="E76" s="18" t="n">
        <v>61.86137707</v>
      </c>
      <c r="F76" s="20" t="n">
        <v>1.91590025</v>
      </c>
      <c r="G76" s="18" t="n">
        <v>34.94165469</v>
      </c>
      <c r="H76" s="20" t="n">
        <v>1.8765377</v>
      </c>
      <c r="I76" s="18" t="s">
        <v>349</v>
      </c>
      <c r="J76" s="20" t="s">
        <v>349</v>
      </c>
      <c r="K76" s="18" t="n">
        <v>3.19696824</v>
      </c>
      <c r="L76" s="20" t="n">
        <v>0.74467295</v>
      </c>
      <c r="M76" s="18" t="n">
        <v>0</v>
      </c>
      <c r="N76" s="20" t="n">
        <v>0</v>
      </c>
      <c r="O76" s="18" t="n">
        <v>0</v>
      </c>
      <c r="P76" s="20" t="n">
        <v>0</v>
      </c>
      <c r="Q76" s="18" t="n">
        <v>0</v>
      </c>
      <c r="R76" s="20" t="n">
        <v>0</v>
      </c>
    </row>
    <row r="77" spans="1:18">
      <c r="A77" s="15" t="s">
        <v>419</v>
      </c>
      <c r="B77" s="17" t="n">
        <v>2908</v>
      </c>
      <c r="C77" s="18">
        <f>(2543.0/B77*100)</f>
        <v/>
      </c>
      <c r="D77" s="19" t="n">
        <v>365</v>
      </c>
      <c r="E77" s="18" t="n">
        <v>56.76235887</v>
      </c>
      <c r="F77" s="20" t="n">
        <v>2.65794615</v>
      </c>
      <c r="G77" s="18" t="n">
        <v>39.97582638</v>
      </c>
      <c r="H77" s="20" t="n">
        <v>2.60323576</v>
      </c>
      <c r="I77" s="18" t="s">
        <v>349</v>
      </c>
      <c r="J77" s="20" t="s">
        <v>349</v>
      </c>
      <c r="K77" s="18" t="n">
        <v>3.26181475</v>
      </c>
      <c r="L77" s="20" t="n">
        <v>1.02350291</v>
      </c>
      <c r="M77" s="18" t="n">
        <v>0</v>
      </c>
      <c r="N77" s="20" t="n">
        <v>0</v>
      </c>
      <c r="O77" s="18" t="n">
        <v>0</v>
      </c>
      <c r="P77" s="20" t="n">
        <v>0</v>
      </c>
      <c r="Q77" s="18" t="n">
        <v>0</v>
      </c>
      <c r="R77" s="20" t="n">
        <v>0</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(3657.0/B81*100)</f>
        <v/>
      </c>
      <c r="D81" s="19" t="n">
        <v>506</v>
      </c>
      <c r="E81" s="18" t="n">
        <v>65.81475838999999</v>
      </c>
      <c r="F81" s="20" t="n">
        <v>2.6768249</v>
      </c>
      <c r="G81" s="18" t="n">
        <v>33.2114542</v>
      </c>
      <c r="H81" s="20" t="n">
        <v>2.47218335</v>
      </c>
      <c r="I81" s="18" t="s">
        <v>349</v>
      </c>
      <c r="J81" s="20" t="s">
        <v>349</v>
      </c>
      <c r="K81" s="18" t="n">
        <v>0.97378741</v>
      </c>
      <c r="L81" s="20" t="n">
        <v>0.86150563</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(6434.0/B7*100)</f>
        <v/>
      </c>
      <c r="D7" s="19" t="n">
        <v>933</v>
      </c>
      <c r="E7" s="18" t="n">
        <v>32.30894656</v>
      </c>
      <c r="F7" s="20" t="n">
        <v>1.6354252</v>
      </c>
      <c r="G7" s="18" t="n">
        <v>65.6529364</v>
      </c>
      <c r="H7" s="20" t="n">
        <v>1.67957502</v>
      </c>
      <c r="I7" s="18" t="s">
        <v>349</v>
      </c>
      <c r="J7" s="20" t="s">
        <v>349</v>
      </c>
      <c r="K7" s="18" t="n">
        <v>0.24029892</v>
      </c>
      <c r="L7" s="20" t="n">
        <v>0.18326317</v>
      </c>
      <c r="M7" s="18" t="n">
        <v>0</v>
      </c>
      <c r="N7" s="20" t="n">
        <v>0</v>
      </c>
      <c r="O7" s="18" t="n">
        <v>0</v>
      </c>
      <c r="P7" s="20" t="n">
        <v>0</v>
      </c>
      <c r="Q7" s="18" t="n">
        <v>1.79781811</v>
      </c>
      <c r="R7" s="20" t="n">
        <v>0.45486975</v>
      </c>
    </row>
    <row r="8" spans="1:18">
      <c r="A8" s="15" t="s">
        <v>350</v>
      </c>
      <c r="B8" s="17" t="n">
        <v>3564</v>
      </c>
      <c r="C8" s="18">
        <f>(3125.0/B8*100)</f>
        <v/>
      </c>
      <c r="D8" s="19" t="n">
        <v>439</v>
      </c>
      <c r="E8" s="18" t="n">
        <v>25.15129513</v>
      </c>
      <c r="F8" s="20" t="n">
        <v>2.08188453</v>
      </c>
      <c r="G8" s="18" t="n">
        <v>72.83018685</v>
      </c>
      <c r="H8" s="20" t="n">
        <v>2.3002301</v>
      </c>
      <c r="I8" s="18" t="s">
        <v>349</v>
      </c>
      <c r="J8" s="20" t="s">
        <v>349</v>
      </c>
      <c r="K8" s="18" t="n">
        <v>0</v>
      </c>
      <c r="L8" s="20" t="n">
        <v>0</v>
      </c>
      <c r="M8" s="18" t="n">
        <v>0</v>
      </c>
      <c r="N8" s="20" t="n">
        <v>0</v>
      </c>
      <c r="O8" s="18" t="n">
        <v>0</v>
      </c>
      <c r="P8" s="20" t="n">
        <v>0</v>
      </c>
      <c r="Q8" s="18" t="n">
        <v>2.01851802</v>
      </c>
      <c r="R8" s="20" t="n">
        <v>0.64869979</v>
      </c>
    </row>
    <row r="9" spans="1:18">
      <c r="A9" s="15" t="s">
        <v>351</v>
      </c>
      <c r="B9" s="17" t="n">
        <v>4899</v>
      </c>
      <c r="C9" s="18">
        <f>(4331.0/B9*100)</f>
        <v/>
      </c>
      <c r="D9" s="19" t="n">
        <v>568</v>
      </c>
      <c r="E9" s="18" t="n">
        <v>25.74589144</v>
      </c>
      <c r="F9" s="20" t="n">
        <v>1.62293028</v>
      </c>
      <c r="G9" s="18" t="n">
        <v>73.52583201</v>
      </c>
      <c r="H9" s="20" t="n">
        <v>1.66051838</v>
      </c>
      <c r="I9" s="18" t="s">
        <v>349</v>
      </c>
      <c r="J9" s="20" t="s">
        <v>349</v>
      </c>
      <c r="K9" s="18" t="n">
        <v>0.24726162</v>
      </c>
      <c r="L9" s="20" t="n">
        <v>0.24721536</v>
      </c>
      <c r="M9" s="18" t="n">
        <v>0</v>
      </c>
      <c r="N9" s="20" t="n">
        <v>0</v>
      </c>
      <c r="O9" s="18" t="n">
        <v>0</v>
      </c>
      <c r="P9" s="20" t="n">
        <v>0</v>
      </c>
      <c r="Q9" s="18" t="n">
        <v>0.48101493</v>
      </c>
      <c r="R9" s="20" t="n">
        <v>0.35885914</v>
      </c>
    </row>
    <row r="10" spans="1:18">
      <c r="A10" s="15" t="s">
        <v>352</v>
      </c>
      <c r="B10" s="17" t="n">
        <v>10036</v>
      </c>
      <c r="C10" s="18">
        <f>(8818.0/B10*100)</f>
        <v/>
      </c>
      <c r="D10" s="19" t="n">
        <v>1218</v>
      </c>
      <c r="E10" s="18" t="n">
        <v>30.86165916</v>
      </c>
      <c r="F10" s="20" t="n">
        <v>1.67924985</v>
      </c>
      <c r="G10" s="18" t="n">
        <v>68.14245794</v>
      </c>
      <c r="H10" s="20" t="n">
        <v>1.7534285</v>
      </c>
      <c r="I10" s="18" t="s">
        <v>349</v>
      </c>
      <c r="J10" s="20" t="s">
        <v>349</v>
      </c>
      <c r="K10" s="18" t="n">
        <v>0.07202551</v>
      </c>
      <c r="L10" s="20" t="n">
        <v>0.05430751</v>
      </c>
      <c r="M10" s="18" t="n">
        <v>0</v>
      </c>
      <c r="N10" s="20" t="n">
        <v>0</v>
      </c>
      <c r="O10" s="18" t="n">
        <v>0</v>
      </c>
      <c r="P10" s="20" t="n">
        <v>0</v>
      </c>
      <c r="Q10" s="18" t="n">
        <v>0.92385738</v>
      </c>
      <c r="R10" s="20" t="n">
        <v>0.47561078</v>
      </c>
    </row>
    <row r="11" spans="1:18">
      <c r="A11" s="15" t="s">
        <v>353</v>
      </c>
      <c r="B11" s="17" t="n">
        <v>3553</v>
      </c>
      <c r="C11" s="18">
        <f>(3128.0/B11*100)</f>
        <v/>
      </c>
      <c r="D11" s="19" t="n">
        <v>425</v>
      </c>
      <c r="E11" s="18" t="n">
        <v>47.4203047</v>
      </c>
      <c r="F11" s="20" t="n">
        <v>2.73099344</v>
      </c>
      <c r="G11" s="18" t="n">
        <v>50.32115046</v>
      </c>
      <c r="H11" s="20" t="n">
        <v>2.78857829</v>
      </c>
      <c r="I11" s="18" t="s">
        <v>349</v>
      </c>
      <c r="J11" s="20" t="s">
        <v>349</v>
      </c>
      <c r="K11" s="18" t="n">
        <v>0.32028568</v>
      </c>
      <c r="L11" s="20" t="n">
        <v>0.3095552</v>
      </c>
      <c r="M11" s="18" t="n">
        <v>0</v>
      </c>
      <c r="N11" s="20" t="n">
        <v>0</v>
      </c>
      <c r="O11" s="18" t="n">
        <v>0</v>
      </c>
      <c r="P11" s="20" t="n">
        <v>0</v>
      </c>
      <c r="Q11" s="18" t="n">
        <v>1.93825916</v>
      </c>
      <c r="R11" s="20" t="n">
        <v>0.65115764</v>
      </c>
    </row>
    <row r="12" spans="1:18">
      <c r="A12" s="15" t="s">
        <v>354</v>
      </c>
      <c r="B12" s="17" t="n">
        <v>3472</v>
      </c>
      <c r="C12" s="18">
        <f>(3051.0/B12*100)</f>
        <v/>
      </c>
      <c r="D12" s="19" t="n">
        <v>421</v>
      </c>
      <c r="E12" s="18" t="n">
        <v>31.51126612</v>
      </c>
      <c r="F12" s="20" t="n">
        <v>2.71822874</v>
      </c>
      <c r="G12" s="18" t="n">
        <v>66.59203468</v>
      </c>
      <c r="H12" s="20" t="n">
        <v>2.68141407</v>
      </c>
      <c r="I12" s="18" t="s">
        <v>349</v>
      </c>
      <c r="J12" s="20" t="s">
        <v>349</v>
      </c>
      <c r="K12" s="18" t="n">
        <v>0</v>
      </c>
      <c r="L12" s="20" t="n">
        <v>0</v>
      </c>
      <c r="M12" s="18" t="n">
        <v>0</v>
      </c>
      <c r="N12" s="20" t="n">
        <v>0</v>
      </c>
      <c r="O12" s="18" t="n">
        <v>0</v>
      </c>
      <c r="P12" s="20" t="n">
        <v>0</v>
      </c>
      <c r="Q12" s="18" t="n">
        <v>1.8966992</v>
      </c>
      <c r="R12" s="20" t="n">
        <v>0.65282071</v>
      </c>
    </row>
    <row r="13" spans="1:18">
      <c r="A13" s="15" t="s">
        <v>355</v>
      </c>
      <c r="B13" s="17" t="n">
        <v>3559</v>
      </c>
      <c r="C13" s="18">
        <f>(3136.0/B13*100)</f>
        <v/>
      </c>
      <c r="D13" s="19" t="n">
        <v>423</v>
      </c>
      <c r="E13" s="18" t="n">
        <v>30.92419388</v>
      </c>
      <c r="F13" s="20" t="n">
        <v>2.63088186</v>
      </c>
      <c r="G13" s="18" t="n">
        <v>66.61097411</v>
      </c>
      <c r="H13" s="20" t="n">
        <v>2.78008321</v>
      </c>
      <c r="I13" s="18" t="s">
        <v>349</v>
      </c>
      <c r="J13" s="20" t="s">
        <v>349</v>
      </c>
      <c r="K13" s="18" t="n">
        <v>0.55349379</v>
      </c>
      <c r="L13" s="20" t="n">
        <v>0.56122264</v>
      </c>
      <c r="M13" s="18" t="n">
        <v>0</v>
      </c>
      <c r="N13" s="20" t="n">
        <v>0</v>
      </c>
      <c r="O13" s="18" t="n">
        <v>0</v>
      </c>
      <c r="P13" s="20" t="n">
        <v>0</v>
      </c>
      <c r="Q13" s="18" t="n">
        <v>1.91133822</v>
      </c>
      <c r="R13" s="20" t="n">
        <v>0.89845253</v>
      </c>
    </row>
    <row r="14" spans="1:18">
      <c r="A14" s="15" t="s">
        <v>356</v>
      </c>
      <c r="B14" s="17" t="n">
        <v>2799</v>
      </c>
      <c r="C14" s="18">
        <f>(2474.0/B14*100)</f>
        <v/>
      </c>
      <c r="D14" s="19" t="n">
        <v>325</v>
      </c>
      <c r="E14" s="18" t="n">
        <v>31.32094468</v>
      </c>
      <c r="F14" s="20" t="n">
        <v>2.77489859</v>
      </c>
      <c r="G14" s="18" t="n">
        <v>66.59194923</v>
      </c>
      <c r="H14" s="20" t="n">
        <v>2.99802737</v>
      </c>
      <c r="I14" s="18" t="s">
        <v>349</v>
      </c>
      <c r="J14" s="20" t="s">
        <v>349</v>
      </c>
      <c r="K14" s="18" t="n">
        <v>0</v>
      </c>
      <c r="L14" s="20" t="n">
        <v>0</v>
      </c>
      <c r="M14" s="18" t="n">
        <v>0</v>
      </c>
      <c r="N14" s="20" t="n">
        <v>0</v>
      </c>
      <c r="O14" s="18" t="n">
        <v>0</v>
      </c>
      <c r="P14" s="20" t="n">
        <v>0</v>
      </c>
      <c r="Q14" s="18" t="n">
        <v>2.08710609</v>
      </c>
      <c r="R14" s="20" t="n">
        <v>1.015595</v>
      </c>
    </row>
    <row r="15" spans="1:18">
      <c r="A15" s="15" t="s">
        <v>357</v>
      </c>
      <c r="B15" s="17" t="n">
        <v>3019</v>
      </c>
      <c r="C15" s="18">
        <f>(2649.0/B15*100)</f>
        <v/>
      </c>
      <c r="D15" s="19" t="n">
        <v>370</v>
      </c>
      <c r="E15" s="18" t="n">
        <v>29.4569935</v>
      </c>
      <c r="F15" s="20" t="n">
        <v>2.54105458</v>
      </c>
      <c r="G15" s="18" t="n">
        <v>68.06783658000001</v>
      </c>
      <c r="H15" s="20" t="n">
        <v>2.5501564</v>
      </c>
      <c r="I15" s="18" t="s">
        <v>349</v>
      </c>
      <c r="J15" s="20" t="s">
        <v>349</v>
      </c>
      <c r="K15" s="18" t="n">
        <v>0</v>
      </c>
      <c r="L15" s="20" t="n">
        <v>0</v>
      </c>
      <c r="M15" s="18" t="n">
        <v>0</v>
      </c>
      <c r="N15" s="20" t="n">
        <v>0</v>
      </c>
      <c r="O15" s="18" t="n">
        <v>0</v>
      </c>
      <c r="P15" s="20" t="n">
        <v>0</v>
      </c>
      <c r="Q15" s="18" t="n">
        <v>2.47516993</v>
      </c>
      <c r="R15" s="20" t="n">
        <v>0.9961956199999999</v>
      </c>
    </row>
    <row r="16" spans="1:18">
      <c r="A16" s="15" t="s">
        <v>358</v>
      </c>
      <c r="B16" s="17" t="n">
        <v>2997</v>
      </c>
      <c r="C16" s="18">
        <f>(2638.0/B16*100)</f>
        <v/>
      </c>
      <c r="D16" s="19" t="n">
        <v>359</v>
      </c>
      <c r="E16" s="18" t="n">
        <v>35.90867006</v>
      </c>
      <c r="F16" s="20" t="n">
        <v>2.3112202</v>
      </c>
      <c r="G16" s="18" t="n">
        <v>61.45041258</v>
      </c>
      <c r="H16" s="20" t="n">
        <v>2.21689602</v>
      </c>
      <c r="I16" s="18" t="s">
        <v>349</v>
      </c>
      <c r="J16" s="20" t="s">
        <v>349</v>
      </c>
      <c r="K16" s="18" t="n">
        <v>0</v>
      </c>
      <c r="L16" s="20" t="n">
        <v>0</v>
      </c>
      <c r="M16" s="18" t="n">
        <v>0</v>
      </c>
      <c r="N16" s="20" t="n">
        <v>0</v>
      </c>
      <c r="O16" s="18" t="n">
        <v>0</v>
      </c>
      <c r="P16" s="20" t="n">
        <v>0</v>
      </c>
      <c r="Q16" s="18" t="n">
        <v>2.64091736</v>
      </c>
      <c r="R16" s="20" t="n">
        <v>0.9702892400000001</v>
      </c>
    </row>
    <row r="17" spans="1:18">
      <c r="A17" s="15" t="s">
        <v>359</v>
      </c>
      <c r="B17" s="17" t="n">
        <v>3307</v>
      </c>
      <c r="C17" s="18">
        <f>(2890.0/B17*100)</f>
        <v/>
      </c>
      <c r="D17" s="19" t="n">
        <v>417</v>
      </c>
      <c r="E17" s="18" t="n">
        <v>25.05310966</v>
      </c>
      <c r="F17" s="20" t="n">
        <v>2.36359182</v>
      </c>
      <c r="G17" s="18" t="n">
        <v>72.5895593</v>
      </c>
      <c r="H17" s="20" t="n">
        <v>2.67202232</v>
      </c>
      <c r="I17" s="18" t="s">
        <v>349</v>
      </c>
      <c r="J17" s="20" t="s">
        <v>349</v>
      </c>
      <c r="K17" s="18" t="n">
        <v>0.17399128</v>
      </c>
      <c r="L17" s="20" t="n">
        <v>0.1805733</v>
      </c>
      <c r="M17" s="18" t="n">
        <v>0</v>
      </c>
      <c r="N17" s="20" t="n">
        <v>0</v>
      </c>
      <c r="O17" s="18" t="n">
        <v>0</v>
      </c>
      <c r="P17" s="20" t="n">
        <v>0</v>
      </c>
      <c r="Q17" s="18" t="n">
        <v>2.18333976</v>
      </c>
      <c r="R17" s="20" t="n">
        <v>0.87303142</v>
      </c>
    </row>
    <row r="18" spans="1:18">
      <c r="A18" s="15" t="s">
        <v>360</v>
      </c>
      <c r="B18" s="17" t="n">
        <v>2826</v>
      </c>
      <c r="C18" s="18">
        <f>(2484.0/B18*100)</f>
        <v/>
      </c>
      <c r="D18" s="19" t="n">
        <v>342</v>
      </c>
      <c r="E18" s="18" t="n">
        <v>55.21470876</v>
      </c>
      <c r="F18" s="20" t="n">
        <v>3.11162225</v>
      </c>
      <c r="G18" s="18" t="n">
        <v>43.1455867</v>
      </c>
      <c r="H18" s="20" t="n">
        <v>3.01431884</v>
      </c>
      <c r="I18" s="18" t="s">
        <v>349</v>
      </c>
      <c r="J18" s="20" t="s">
        <v>349</v>
      </c>
      <c r="K18" s="18" t="n">
        <v>0</v>
      </c>
      <c r="L18" s="20" t="n">
        <v>0</v>
      </c>
      <c r="M18" s="18" t="n">
        <v>0</v>
      </c>
      <c r="N18" s="20" t="n">
        <v>0</v>
      </c>
      <c r="O18" s="18" t="n">
        <v>0</v>
      </c>
      <c r="P18" s="20" t="n">
        <v>0</v>
      </c>
      <c r="Q18" s="18" t="n">
        <v>1.63970454</v>
      </c>
      <c r="R18" s="20" t="n">
        <v>0.76661227</v>
      </c>
    </row>
    <row r="19" spans="1:18">
      <c r="A19" s="15" t="s">
        <v>361</v>
      </c>
      <c r="B19" s="17" t="n">
        <v>2808</v>
      </c>
      <c r="C19" s="18">
        <f>(2457.0/B19*100)</f>
        <v/>
      </c>
      <c r="D19" s="19" t="n">
        <v>351</v>
      </c>
      <c r="E19" s="18" t="n">
        <v>32.69895757</v>
      </c>
      <c r="F19" s="20" t="n">
        <v>2.69317971</v>
      </c>
      <c r="G19" s="18" t="n">
        <v>64.12458588</v>
      </c>
      <c r="H19" s="20" t="n">
        <v>2.92605141</v>
      </c>
      <c r="I19" s="18" t="s">
        <v>349</v>
      </c>
      <c r="J19" s="20" t="s">
        <v>349</v>
      </c>
      <c r="K19" s="18" t="n">
        <v>0</v>
      </c>
      <c r="L19" s="20" t="n">
        <v>0</v>
      </c>
      <c r="M19" s="18" t="n">
        <v>0</v>
      </c>
      <c r="N19" s="20" t="n">
        <v>0</v>
      </c>
      <c r="O19" s="18" t="n">
        <v>0</v>
      </c>
      <c r="P19" s="20" t="n">
        <v>0</v>
      </c>
      <c r="Q19" s="18" t="n">
        <v>3.17645655</v>
      </c>
      <c r="R19" s="20" t="n">
        <v>1.15699935</v>
      </c>
    </row>
    <row r="20" spans="1:18">
      <c r="A20" s="15" t="s">
        <v>362</v>
      </c>
      <c r="B20" s="17" t="n">
        <v>1630</v>
      </c>
      <c r="C20" s="18">
        <f>(1431.0/B20*100)</f>
        <v/>
      </c>
      <c r="D20" s="19" t="n">
        <v>199</v>
      </c>
      <c r="E20" s="18" t="n">
        <v>32.06069002</v>
      </c>
      <c r="F20" s="20" t="n">
        <v>3.44081944</v>
      </c>
      <c r="G20" s="18" t="n">
        <v>63.41690465</v>
      </c>
      <c r="H20" s="20" t="n">
        <v>3.71814384</v>
      </c>
      <c r="I20" s="18" t="s">
        <v>349</v>
      </c>
      <c r="J20" s="20" t="s">
        <v>349</v>
      </c>
      <c r="K20" s="18" t="n">
        <v>0</v>
      </c>
      <c r="L20" s="20" t="n">
        <v>0</v>
      </c>
      <c r="M20" s="18" t="n">
        <v>0</v>
      </c>
      <c r="N20" s="20" t="n">
        <v>0</v>
      </c>
      <c r="O20" s="18" t="n">
        <v>0</v>
      </c>
      <c r="P20" s="20" t="n">
        <v>0</v>
      </c>
      <c r="Q20" s="18" t="n">
        <v>4.52240533</v>
      </c>
      <c r="R20" s="20" t="n">
        <v>1.51853025</v>
      </c>
    </row>
    <row r="21" spans="1:18">
      <c r="A21" s="15" t="s">
        <v>363</v>
      </c>
      <c r="B21" s="17" t="n">
        <v>2908</v>
      </c>
      <c r="C21" s="18">
        <f>(2413.0/B21*100)</f>
        <v/>
      </c>
      <c r="D21" s="19" t="n">
        <v>495</v>
      </c>
      <c r="E21" s="18" t="n">
        <v>40.90006147</v>
      </c>
      <c r="F21" s="20" t="n">
        <v>1.99217368</v>
      </c>
      <c r="G21" s="18" t="n">
        <v>57.42041267</v>
      </c>
      <c r="H21" s="20" t="n">
        <v>2.02580452</v>
      </c>
      <c r="I21" s="18" t="s">
        <v>349</v>
      </c>
      <c r="J21" s="20" t="s">
        <v>349</v>
      </c>
      <c r="K21" s="18" t="n">
        <v>0.18913373</v>
      </c>
      <c r="L21" s="20" t="n">
        <v>0.18853547</v>
      </c>
      <c r="M21" s="18" t="n">
        <v>0</v>
      </c>
      <c r="N21" s="20" t="n">
        <v>0</v>
      </c>
      <c r="O21" s="18" t="n">
        <v>0</v>
      </c>
      <c r="P21" s="20" t="n">
        <v>0</v>
      </c>
      <c r="Q21" s="18" t="n">
        <v>1.49039213</v>
      </c>
      <c r="R21" s="20" t="n">
        <v>0.58671338</v>
      </c>
    </row>
    <row r="22" spans="1:18">
      <c r="A22" s="15" t="s">
        <v>364</v>
      </c>
      <c r="B22" s="17" t="n">
        <v>2931</v>
      </c>
      <c r="C22" s="18">
        <f>(2572.0/B22*100)</f>
        <v/>
      </c>
      <c r="D22" s="19" t="n">
        <v>359</v>
      </c>
      <c r="E22" s="18" t="n">
        <v>42.03994734</v>
      </c>
      <c r="F22" s="20" t="n">
        <v>3.12731352</v>
      </c>
      <c r="G22" s="18" t="n">
        <v>55.3230666</v>
      </c>
      <c r="H22" s="20" t="n">
        <v>3.25093741</v>
      </c>
      <c r="I22" s="18" t="s">
        <v>349</v>
      </c>
      <c r="J22" s="20" t="s">
        <v>349</v>
      </c>
      <c r="K22" s="18" t="n">
        <v>0.52133022</v>
      </c>
      <c r="L22" s="20" t="n">
        <v>0.53033021</v>
      </c>
      <c r="M22" s="18" t="n">
        <v>0</v>
      </c>
      <c r="N22" s="20" t="n">
        <v>0</v>
      </c>
      <c r="O22" s="18" t="n">
        <v>0</v>
      </c>
      <c r="P22" s="20" t="n">
        <v>0</v>
      </c>
      <c r="Q22" s="18" t="n">
        <v>2.11565584</v>
      </c>
      <c r="R22" s="20" t="n">
        <v>0.93959231</v>
      </c>
    </row>
    <row r="23" spans="1:18">
      <c r="A23" s="15" t="s">
        <v>365</v>
      </c>
      <c r="B23" s="17" t="n">
        <v>5791</v>
      </c>
      <c r="C23" s="18">
        <f>(5064.0/B23*100)</f>
        <v/>
      </c>
      <c r="D23" s="19" t="n">
        <v>727</v>
      </c>
      <c r="E23" s="18" t="n">
        <v>33.03140534</v>
      </c>
      <c r="F23" s="20" t="n">
        <v>2.41317543</v>
      </c>
      <c r="G23" s="18" t="n">
        <v>64.86060046999999</v>
      </c>
      <c r="H23" s="20" t="n">
        <v>2.430178</v>
      </c>
      <c r="I23" s="18" t="s">
        <v>349</v>
      </c>
      <c r="J23" s="20" t="s">
        <v>349</v>
      </c>
      <c r="K23" s="18" t="n">
        <v>0</v>
      </c>
      <c r="L23" s="20" t="n">
        <v>0</v>
      </c>
      <c r="M23" s="18" t="n">
        <v>0</v>
      </c>
      <c r="N23" s="20" t="n">
        <v>0</v>
      </c>
      <c r="O23" s="18" t="n">
        <v>0</v>
      </c>
      <c r="P23" s="20" t="n">
        <v>0</v>
      </c>
      <c r="Q23" s="18" t="n">
        <v>2.1079942</v>
      </c>
      <c r="R23" s="20" t="n">
        <v>0.75483146</v>
      </c>
    </row>
    <row r="24" spans="1:18">
      <c r="A24" s="15" t="s">
        <v>366</v>
      </c>
      <c r="B24" s="17" t="n">
        <v>3338</v>
      </c>
      <c r="C24" s="18">
        <f>(2921.0/B24*100)</f>
        <v/>
      </c>
      <c r="D24" s="19" t="n">
        <v>417</v>
      </c>
      <c r="E24" s="18" t="n">
        <v>17.52933581</v>
      </c>
      <c r="F24" s="20" t="n">
        <v>1.73747104</v>
      </c>
      <c r="G24" s="18" t="n">
        <v>81.58607601</v>
      </c>
      <c r="H24" s="20" t="n">
        <v>1.81939686</v>
      </c>
      <c r="I24" s="18" t="s">
        <v>349</v>
      </c>
      <c r="J24" s="20" t="s">
        <v>349</v>
      </c>
      <c r="K24" s="18" t="n">
        <v>0.17011473</v>
      </c>
      <c r="L24" s="20" t="n">
        <v>0.17093135</v>
      </c>
      <c r="M24" s="18" t="n">
        <v>0</v>
      </c>
      <c r="N24" s="20" t="n">
        <v>0</v>
      </c>
      <c r="O24" s="18" t="n">
        <v>0</v>
      </c>
      <c r="P24" s="20" t="n">
        <v>0</v>
      </c>
      <c r="Q24" s="18" t="n">
        <v>0.71447346</v>
      </c>
      <c r="R24" s="20" t="n">
        <v>0.40979035</v>
      </c>
    </row>
    <row r="25" spans="1:18">
      <c r="A25" s="15" t="s">
        <v>367</v>
      </c>
      <c r="B25" s="17" t="n">
        <v>2912</v>
      </c>
      <c r="C25" s="18">
        <f>(2574.0/B25*100)</f>
        <v/>
      </c>
      <c r="D25" s="19" t="n">
        <v>338</v>
      </c>
      <c r="E25" s="18" t="n">
        <v>14.27054481</v>
      </c>
      <c r="F25" s="20" t="n">
        <v>1.72768939</v>
      </c>
      <c r="G25" s="18" t="n">
        <v>85.12331897999999</v>
      </c>
      <c r="H25" s="20" t="n">
        <v>1.72021474</v>
      </c>
      <c r="I25" s="18" t="s">
        <v>349</v>
      </c>
      <c r="J25" s="20" t="s">
        <v>349</v>
      </c>
      <c r="K25" s="18" t="n">
        <v>0</v>
      </c>
      <c r="L25" s="20" t="n">
        <v>0</v>
      </c>
      <c r="M25" s="18" t="n">
        <v>0</v>
      </c>
      <c r="N25" s="20" t="n">
        <v>0</v>
      </c>
      <c r="O25" s="18" t="n">
        <v>0</v>
      </c>
      <c r="P25" s="20" t="n">
        <v>0</v>
      </c>
      <c r="Q25" s="18" t="n">
        <v>0.60613621</v>
      </c>
      <c r="R25" s="20" t="n">
        <v>0.42857198</v>
      </c>
    </row>
    <row r="26" spans="1:18">
      <c r="A26" s="15" t="s">
        <v>368</v>
      </c>
      <c r="B26" s="17" t="n">
        <v>2450</v>
      </c>
      <c r="C26" s="18">
        <f>(2130.0/B26*100)</f>
        <v/>
      </c>
      <c r="D26" s="19" t="n">
        <v>320</v>
      </c>
      <c r="E26" s="18" t="n">
        <v>35.42898319</v>
      </c>
      <c r="F26" s="20" t="n">
        <v>2.68476158</v>
      </c>
      <c r="G26" s="18" t="n">
        <v>63.51332399</v>
      </c>
      <c r="H26" s="20" t="n">
        <v>2.75109638</v>
      </c>
      <c r="I26" s="18" t="s">
        <v>349</v>
      </c>
      <c r="J26" s="20" t="s">
        <v>349</v>
      </c>
      <c r="K26" s="18" t="n">
        <v>0</v>
      </c>
      <c r="L26" s="20" t="n">
        <v>0</v>
      </c>
      <c r="M26" s="18" t="n">
        <v>0</v>
      </c>
      <c r="N26" s="20" t="n">
        <v>0</v>
      </c>
      <c r="O26" s="18" t="n">
        <v>0</v>
      </c>
      <c r="P26" s="20" t="n">
        <v>0</v>
      </c>
      <c r="Q26" s="18" t="n">
        <v>1.05769282</v>
      </c>
      <c r="R26" s="20" t="n">
        <v>0.50337217</v>
      </c>
    </row>
    <row r="27" spans="1:18">
      <c r="A27" s="15" t="s">
        <v>369</v>
      </c>
      <c r="B27" s="17" t="n">
        <v>2616</v>
      </c>
      <c r="C27" s="18">
        <f>(2303.0/B27*100)</f>
        <v/>
      </c>
      <c r="D27" s="19" t="n">
        <v>313</v>
      </c>
      <c r="E27" s="18" t="n">
        <v>30.38912342</v>
      </c>
      <c r="F27" s="20" t="n">
        <v>2.26676591</v>
      </c>
      <c r="G27" s="18" t="n">
        <v>67.06111563</v>
      </c>
      <c r="H27" s="20" t="n">
        <v>2.20725645</v>
      </c>
      <c r="I27" s="18" t="s">
        <v>349</v>
      </c>
      <c r="J27" s="20" t="s">
        <v>349</v>
      </c>
      <c r="K27" s="18" t="n">
        <v>0.31571129</v>
      </c>
      <c r="L27" s="20" t="n">
        <v>0.31259993</v>
      </c>
      <c r="M27" s="18" t="n">
        <v>0</v>
      </c>
      <c r="N27" s="20" t="n">
        <v>0</v>
      </c>
      <c r="O27" s="18" t="n">
        <v>0</v>
      </c>
      <c r="P27" s="20" t="n">
        <v>0</v>
      </c>
      <c r="Q27" s="18" t="n">
        <v>2.23404966</v>
      </c>
      <c r="R27" s="20" t="n">
        <v>0.7984074799999999</v>
      </c>
    </row>
    <row r="28" spans="1:18">
      <c r="A28" s="15" t="s">
        <v>370</v>
      </c>
      <c r="B28" s="17" t="n">
        <v>3765</v>
      </c>
      <c r="C28" s="18">
        <f>(3279.0/B28*100)</f>
        <v/>
      </c>
      <c r="D28" s="19" t="n">
        <v>486</v>
      </c>
      <c r="E28" s="18" t="n">
        <v>55.00340893</v>
      </c>
      <c r="F28" s="20" t="n">
        <v>2.40626101</v>
      </c>
      <c r="G28" s="18" t="n">
        <v>41.94263645</v>
      </c>
      <c r="H28" s="20" t="n">
        <v>2.42788274</v>
      </c>
      <c r="I28" s="18" t="s">
        <v>349</v>
      </c>
      <c r="J28" s="20" t="s">
        <v>349</v>
      </c>
      <c r="K28" s="18" t="n">
        <v>0</v>
      </c>
      <c r="L28" s="20" t="n">
        <v>0</v>
      </c>
      <c r="M28" s="18" t="n">
        <v>0</v>
      </c>
      <c r="N28" s="20" t="n">
        <v>0</v>
      </c>
      <c r="O28" s="18" t="n">
        <v>0</v>
      </c>
      <c r="P28" s="20" t="n">
        <v>0</v>
      </c>
      <c r="Q28" s="18" t="n">
        <v>3.05395462</v>
      </c>
      <c r="R28" s="20" t="n">
        <v>0.93320272</v>
      </c>
    </row>
    <row r="29" spans="1:18">
      <c r="A29" s="15" t="s">
        <v>371</v>
      </c>
      <c r="B29" s="17" t="n">
        <v>2685</v>
      </c>
      <c r="C29" s="18">
        <f>(2377.0/B29*100)</f>
        <v/>
      </c>
      <c r="D29" s="19" t="n">
        <v>308</v>
      </c>
      <c r="E29" s="18" t="n">
        <v>23.19637831</v>
      </c>
      <c r="F29" s="20" t="n">
        <v>2.14328189</v>
      </c>
      <c r="G29" s="18" t="n">
        <v>76.23051934999999</v>
      </c>
      <c r="H29" s="20" t="n">
        <v>2.12134219</v>
      </c>
      <c r="I29" s="18" t="s">
        <v>349</v>
      </c>
      <c r="J29" s="20" t="s">
        <v>349</v>
      </c>
      <c r="K29" s="18" t="n">
        <v>0</v>
      </c>
      <c r="L29" s="20" t="n">
        <v>0</v>
      </c>
      <c r="M29" s="18" t="n">
        <v>0</v>
      </c>
      <c r="N29" s="20" t="n">
        <v>0</v>
      </c>
      <c r="O29" s="18" t="n">
        <v>0</v>
      </c>
      <c r="P29" s="20" t="n">
        <v>0</v>
      </c>
      <c r="Q29" s="18" t="n">
        <v>0.57310234</v>
      </c>
      <c r="R29" s="20" t="n">
        <v>0.45004672</v>
      </c>
    </row>
    <row r="30" spans="1:18">
      <c r="A30" s="15" t="s">
        <v>372</v>
      </c>
      <c r="B30" s="17" t="n">
        <v>2263</v>
      </c>
      <c r="C30" s="18">
        <f>(1970.0/B30*100)</f>
        <v/>
      </c>
      <c r="D30" s="19" t="n">
        <v>293</v>
      </c>
      <c r="E30" s="18" t="n">
        <v>36.79358373</v>
      </c>
      <c r="F30" s="20" t="n">
        <v>3.13374035</v>
      </c>
      <c r="G30" s="18" t="n">
        <v>62.86147637</v>
      </c>
      <c r="H30" s="20" t="n">
        <v>3.12522248</v>
      </c>
      <c r="I30" s="18" t="s">
        <v>349</v>
      </c>
      <c r="J30" s="20" t="s">
        <v>349</v>
      </c>
      <c r="K30" s="18" t="n">
        <v>0</v>
      </c>
      <c r="L30" s="20" t="n">
        <v>0</v>
      </c>
      <c r="M30" s="18" t="n">
        <v>0</v>
      </c>
      <c r="N30" s="20" t="n">
        <v>0</v>
      </c>
      <c r="O30" s="18" t="n">
        <v>0</v>
      </c>
      <c r="P30" s="20" t="n">
        <v>0</v>
      </c>
      <c r="Q30" s="18" t="n">
        <v>0.3449399</v>
      </c>
      <c r="R30" s="20" t="n">
        <v>0.32975566</v>
      </c>
    </row>
    <row r="31" spans="1:18">
      <c r="A31" s="15" t="s">
        <v>373</v>
      </c>
      <c r="B31" s="17" t="n">
        <v>2750</v>
      </c>
      <c r="C31" s="18">
        <f>(2419.0/B31*100)</f>
        <v/>
      </c>
      <c r="D31" s="19" t="n">
        <v>331</v>
      </c>
      <c r="E31" s="18" t="n">
        <v>37.65437609</v>
      </c>
      <c r="F31" s="20" t="n">
        <v>2.42780576</v>
      </c>
      <c r="G31" s="18" t="n">
        <v>61.46413262</v>
      </c>
      <c r="H31" s="20" t="n">
        <v>2.4652723</v>
      </c>
      <c r="I31" s="18" t="s">
        <v>349</v>
      </c>
      <c r="J31" s="20" t="s">
        <v>349</v>
      </c>
      <c r="K31" s="18" t="n">
        <v>0.26983484</v>
      </c>
      <c r="L31" s="20" t="n">
        <v>0.26652561</v>
      </c>
      <c r="M31" s="18" t="n">
        <v>0</v>
      </c>
      <c r="N31" s="20" t="n">
        <v>0</v>
      </c>
      <c r="O31" s="18" t="n">
        <v>0</v>
      </c>
      <c r="P31" s="20" t="n">
        <v>0</v>
      </c>
      <c r="Q31" s="18" t="n">
        <v>0.61165644</v>
      </c>
      <c r="R31" s="20" t="n">
        <v>0.42384013</v>
      </c>
    </row>
    <row r="32" spans="1:18">
      <c r="A32" s="15" t="s">
        <v>374</v>
      </c>
      <c r="B32" s="17" t="n">
        <v>2269</v>
      </c>
      <c r="C32" s="18">
        <f>(1903.0/B32*100)</f>
        <v/>
      </c>
      <c r="D32" s="19" t="n">
        <v>366</v>
      </c>
      <c r="E32" s="18" t="n">
        <v>35.69686041</v>
      </c>
      <c r="F32" s="20" t="n">
        <v>2.34454376</v>
      </c>
      <c r="G32" s="18" t="n">
        <v>63.11560827</v>
      </c>
      <c r="H32" s="20" t="n">
        <v>2.40594314</v>
      </c>
      <c r="I32" s="18" t="s">
        <v>349</v>
      </c>
      <c r="J32" s="20" t="s">
        <v>349</v>
      </c>
      <c r="K32" s="18" t="n">
        <v>0</v>
      </c>
      <c r="L32" s="20" t="n">
        <v>0</v>
      </c>
      <c r="M32" s="18" t="n">
        <v>0</v>
      </c>
      <c r="N32" s="20" t="n">
        <v>0</v>
      </c>
      <c r="O32" s="18" t="n">
        <v>0</v>
      </c>
      <c r="P32" s="20" t="n">
        <v>0</v>
      </c>
      <c r="Q32" s="18" t="n">
        <v>1.18753132</v>
      </c>
      <c r="R32" s="20" t="n">
        <v>0.58161747</v>
      </c>
    </row>
    <row r="33" spans="1:18">
      <c r="A33" s="15" t="s">
        <v>375</v>
      </c>
      <c r="B33" s="17" t="n">
        <v>3674</v>
      </c>
      <c r="C33" s="18">
        <f>(3220.0/B33*100)</f>
        <v/>
      </c>
      <c r="D33" s="19" t="n">
        <v>454</v>
      </c>
      <c r="E33" s="18" t="n">
        <v>32.06989402</v>
      </c>
      <c r="F33" s="20" t="n">
        <v>2.3753846</v>
      </c>
      <c r="G33" s="18" t="n">
        <v>65.08128130999999</v>
      </c>
      <c r="H33" s="20" t="n">
        <v>2.48904106</v>
      </c>
      <c r="I33" s="18" t="s">
        <v>349</v>
      </c>
      <c r="J33" s="20" t="s">
        <v>349</v>
      </c>
      <c r="K33" s="18" t="n">
        <v>0.43119709</v>
      </c>
      <c r="L33" s="20" t="n">
        <v>0.5072523</v>
      </c>
      <c r="M33" s="18" t="n">
        <v>0</v>
      </c>
      <c r="N33" s="20" t="n">
        <v>0</v>
      </c>
      <c r="O33" s="18" t="n">
        <v>0</v>
      </c>
      <c r="P33" s="20" t="n">
        <v>0</v>
      </c>
      <c r="Q33" s="18" t="n">
        <v>2.41762757</v>
      </c>
      <c r="R33" s="20" t="n">
        <v>0.60316196</v>
      </c>
    </row>
    <row r="34" spans="1:18">
      <c r="A34" s="15" t="s">
        <v>376</v>
      </c>
      <c r="B34" s="17" t="n">
        <v>3315</v>
      </c>
      <c r="C34" s="18">
        <f>(2905.0/B34*100)</f>
        <v/>
      </c>
      <c r="D34" s="19" t="n">
        <v>410</v>
      </c>
      <c r="E34" s="18" t="n">
        <v>36.45885427</v>
      </c>
      <c r="F34" s="20" t="n">
        <v>2.34309028</v>
      </c>
      <c r="G34" s="18" t="n">
        <v>60.57285967</v>
      </c>
      <c r="H34" s="20" t="n">
        <v>2.38917853</v>
      </c>
      <c r="I34" s="18" t="s">
        <v>349</v>
      </c>
      <c r="J34" s="20" t="s">
        <v>349</v>
      </c>
      <c r="K34" s="18" t="n">
        <v>0</v>
      </c>
      <c r="L34" s="20" t="n">
        <v>0</v>
      </c>
      <c r="M34" s="18" t="n">
        <v>0</v>
      </c>
      <c r="N34" s="20" t="n">
        <v>0</v>
      </c>
      <c r="O34" s="18" t="n">
        <v>0</v>
      </c>
      <c r="P34" s="20" t="n">
        <v>0</v>
      </c>
      <c r="Q34" s="18" t="n">
        <v>2.96828606</v>
      </c>
      <c r="R34" s="20" t="n">
        <v>1.00161439</v>
      </c>
    </row>
    <row r="35" spans="1:18">
      <c r="A35" s="15" t="s">
        <v>377</v>
      </c>
      <c r="B35" s="17" t="n">
        <v>3505</v>
      </c>
      <c r="C35" s="18">
        <f>(3096.0/B35*100)</f>
        <v/>
      </c>
      <c r="D35" s="19" t="n">
        <v>409</v>
      </c>
      <c r="E35" s="18" t="n">
        <v>22.8006606</v>
      </c>
      <c r="F35" s="20" t="n">
        <v>2.35190042</v>
      </c>
      <c r="G35" s="18" t="n">
        <v>76.86361246</v>
      </c>
      <c r="H35" s="20" t="n">
        <v>2.3510893</v>
      </c>
      <c r="I35" s="18" t="s">
        <v>349</v>
      </c>
      <c r="J35" s="20" t="s">
        <v>349</v>
      </c>
      <c r="K35" s="18" t="n">
        <v>0</v>
      </c>
      <c r="L35" s="20" t="n">
        <v>0</v>
      </c>
      <c r="M35" s="18" t="n">
        <v>0</v>
      </c>
      <c r="N35" s="20" t="n">
        <v>0</v>
      </c>
      <c r="O35" s="18" t="n">
        <v>0</v>
      </c>
      <c r="P35" s="20" t="n">
        <v>0</v>
      </c>
      <c r="Q35" s="18" t="n">
        <v>0.33572693</v>
      </c>
      <c r="R35" s="20" t="n">
        <v>0.19459216</v>
      </c>
    </row>
    <row r="36" spans="1:18">
      <c r="A36" s="15" t="s">
        <v>378</v>
      </c>
      <c r="B36" s="17" t="n">
        <v>3332</v>
      </c>
      <c r="C36" s="18">
        <f>(2929.0/B36*100)</f>
        <v/>
      </c>
      <c r="D36" s="19" t="n">
        <v>403</v>
      </c>
      <c r="E36" s="18" t="n">
        <v>37.03143805</v>
      </c>
      <c r="F36" s="20" t="n">
        <v>2.43657226</v>
      </c>
      <c r="G36" s="18" t="n">
        <v>62.23874522</v>
      </c>
      <c r="H36" s="20" t="n">
        <v>2.4250562</v>
      </c>
      <c r="I36" s="18" t="s">
        <v>349</v>
      </c>
      <c r="J36" s="20" t="s">
        <v>349</v>
      </c>
      <c r="K36" s="18" t="n">
        <v>0.25829494</v>
      </c>
      <c r="L36" s="20" t="n">
        <v>0.26416973</v>
      </c>
      <c r="M36" s="18" t="n">
        <v>0</v>
      </c>
      <c r="N36" s="20" t="n">
        <v>0</v>
      </c>
      <c r="O36" s="18" t="n">
        <v>0</v>
      </c>
      <c r="P36" s="20" t="n">
        <v>0</v>
      </c>
      <c r="Q36" s="18" t="n">
        <v>0.47152179</v>
      </c>
      <c r="R36" s="20" t="n">
        <v>0.3558302</v>
      </c>
    </row>
    <row r="37" spans="1:18">
      <c r="A37" s="15" t="s">
        <v>379</v>
      </c>
      <c r="B37" s="17" t="n">
        <v>2727</v>
      </c>
      <c r="C37" s="18">
        <f>(2389.0/B37*100)</f>
        <v/>
      </c>
      <c r="D37" s="19" t="n">
        <v>338</v>
      </c>
      <c r="E37" s="18" t="n">
        <v>42.62334023</v>
      </c>
      <c r="F37" s="20" t="n">
        <v>2.95849778</v>
      </c>
      <c r="G37" s="18" t="n">
        <v>54.43972998</v>
      </c>
      <c r="H37" s="20" t="n">
        <v>2.98906796</v>
      </c>
      <c r="I37" s="18" t="s">
        <v>349</v>
      </c>
      <c r="J37" s="20" t="s">
        <v>349</v>
      </c>
      <c r="K37" s="18" t="n">
        <v>0</v>
      </c>
      <c r="L37" s="20" t="n">
        <v>0</v>
      </c>
      <c r="M37" s="18" t="n">
        <v>0</v>
      </c>
      <c r="N37" s="20" t="n">
        <v>0</v>
      </c>
      <c r="O37" s="18" t="n">
        <v>0</v>
      </c>
      <c r="P37" s="20" t="n">
        <v>0</v>
      </c>
      <c r="Q37" s="18" t="n">
        <v>2.93692979</v>
      </c>
      <c r="R37" s="20" t="n">
        <v>0.90373685</v>
      </c>
    </row>
    <row r="38" spans="1:18">
      <c r="A38" s="15" t="s">
        <v>380</v>
      </c>
      <c r="B38" s="17" t="n">
        <v>3053</v>
      </c>
      <c r="C38" s="18">
        <f>(2548.0/B38*100)</f>
        <v/>
      </c>
      <c r="D38" s="19" t="n">
        <v>505</v>
      </c>
      <c r="E38" s="18" t="n">
        <v>26.42844004</v>
      </c>
      <c r="F38" s="20" t="n">
        <v>2.08305783</v>
      </c>
      <c r="G38" s="18" t="n">
        <v>71.4724724</v>
      </c>
      <c r="H38" s="20" t="n">
        <v>2.34466337</v>
      </c>
      <c r="I38" s="18" t="s">
        <v>349</v>
      </c>
      <c r="J38" s="20" t="s">
        <v>349</v>
      </c>
      <c r="K38" s="18" t="n">
        <v>0.19763714</v>
      </c>
      <c r="L38" s="20" t="n">
        <v>0.20345197</v>
      </c>
      <c r="M38" s="18" t="n">
        <v>0</v>
      </c>
      <c r="N38" s="20" t="n">
        <v>0</v>
      </c>
      <c r="O38" s="18" t="n">
        <v>0</v>
      </c>
      <c r="P38" s="20" t="n">
        <v>0</v>
      </c>
      <c r="Q38" s="18" t="n">
        <v>1.90145042</v>
      </c>
      <c r="R38" s="20" t="n">
        <v>0.75615701</v>
      </c>
    </row>
    <row r="39" spans="1:18">
      <c r="A39" s="15" t="s">
        <v>381</v>
      </c>
      <c r="B39" s="17" t="n">
        <v>2957</v>
      </c>
      <c r="C39" s="18">
        <f>(2598.0/B39*100)</f>
        <v/>
      </c>
      <c r="D39" s="19" t="n">
        <v>359</v>
      </c>
      <c r="E39" s="18" t="n">
        <v>45.00119107</v>
      </c>
      <c r="F39" s="20" t="n">
        <v>2.89096398</v>
      </c>
      <c r="G39" s="18" t="n">
        <v>49.78979206</v>
      </c>
      <c r="H39" s="20" t="n">
        <v>2.84131931</v>
      </c>
      <c r="I39" s="18" t="s">
        <v>349</v>
      </c>
      <c r="J39" s="20" t="s">
        <v>349</v>
      </c>
      <c r="K39" s="18" t="n">
        <v>0.35458728</v>
      </c>
      <c r="L39" s="20" t="n">
        <v>0.25544255</v>
      </c>
      <c r="M39" s="18" t="n">
        <v>0</v>
      </c>
      <c r="N39" s="20" t="n">
        <v>0</v>
      </c>
      <c r="O39" s="18" t="n">
        <v>0</v>
      </c>
      <c r="P39" s="20" t="n">
        <v>0</v>
      </c>
      <c r="Q39" s="18" t="n">
        <v>4.85442958</v>
      </c>
      <c r="R39" s="20" t="n">
        <v>1.47803803</v>
      </c>
    </row>
    <row r="40" spans="1:18">
      <c r="A40" s="15" t="s">
        <v>382</v>
      </c>
      <c r="B40" s="17" t="n">
        <v>7235</v>
      </c>
      <c r="C40" s="18">
        <f>(6329.0/B40*100)</f>
        <v/>
      </c>
      <c r="D40" s="19" t="n">
        <v>906</v>
      </c>
      <c r="E40" s="18" t="n">
        <v>37.20069029</v>
      </c>
      <c r="F40" s="20" t="n">
        <v>2.21301477</v>
      </c>
      <c r="G40" s="18" t="n">
        <v>61.48435325</v>
      </c>
      <c r="H40" s="20" t="n">
        <v>2.22658878</v>
      </c>
      <c r="I40" s="18" t="s">
        <v>349</v>
      </c>
      <c r="J40" s="20" t="s">
        <v>349</v>
      </c>
      <c r="K40" s="18" t="n">
        <v>0.28033166</v>
      </c>
      <c r="L40" s="20" t="n">
        <v>0.19766421</v>
      </c>
      <c r="M40" s="18" t="n">
        <v>0</v>
      </c>
      <c r="N40" s="20" t="n">
        <v>0</v>
      </c>
      <c r="O40" s="18" t="n">
        <v>0</v>
      </c>
      <c r="P40" s="20" t="n">
        <v>0</v>
      </c>
      <c r="Q40" s="18" t="n">
        <v>1.03462481</v>
      </c>
      <c r="R40" s="20" t="n">
        <v>0.5435800200000001</v>
      </c>
    </row>
    <row r="41" spans="1:18">
      <c r="A41" s="15" t="s">
        <v>383</v>
      </c>
      <c r="B41" s="17" t="n">
        <v>2858</v>
      </c>
      <c r="C41" s="18">
        <f>(2477.0/B41*100)</f>
        <v/>
      </c>
      <c r="D41" s="19" t="n">
        <v>381</v>
      </c>
      <c r="E41" s="18" t="n">
        <v>38.58654931</v>
      </c>
      <c r="F41" s="20" t="n">
        <v>2.64332881</v>
      </c>
      <c r="G41" s="18" t="n">
        <v>58.00141766</v>
      </c>
      <c r="H41" s="20" t="n">
        <v>3.23238385</v>
      </c>
      <c r="I41" s="18" t="s">
        <v>349</v>
      </c>
      <c r="J41" s="20" t="s">
        <v>349</v>
      </c>
      <c r="K41" s="18" t="n">
        <v>0.20024532</v>
      </c>
      <c r="L41" s="20" t="n">
        <v>0.2084772</v>
      </c>
      <c r="M41" s="18" t="n">
        <v>0</v>
      </c>
      <c r="N41" s="20" t="n">
        <v>0</v>
      </c>
      <c r="O41" s="18" t="n">
        <v>0</v>
      </c>
      <c r="P41" s="20" t="n">
        <v>0</v>
      </c>
      <c r="Q41" s="18" t="n">
        <v>3.21178771</v>
      </c>
      <c r="R41" s="20" t="n">
        <v>1.81109333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(9749.0/B46*100)</f>
        <v/>
      </c>
      <c r="D46" s="19" t="n">
        <v>1319</v>
      </c>
      <c r="E46" s="18" t="n">
        <v>58.98279358</v>
      </c>
      <c r="F46" s="20" t="n">
        <v>1.74490878</v>
      </c>
      <c r="G46" s="18" t="n">
        <v>34.08011781</v>
      </c>
      <c r="H46" s="20" t="n">
        <v>1.63307328</v>
      </c>
      <c r="I46" s="18" t="s">
        <v>349</v>
      </c>
      <c r="J46" s="20" t="s">
        <v>349</v>
      </c>
      <c r="K46" s="18" t="n">
        <v>0.40964363</v>
      </c>
      <c r="L46" s="20" t="n">
        <v>0.26145931</v>
      </c>
      <c r="M46" s="18" t="n">
        <v>0</v>
      </c>
      <c r="N46" s="20" t="n">
        <v>0</v>
      </c>
      <c r="O46" s="18" t="n">
        <v>0</v>
      </c>
      <c r="P46" s="20" t="n">
        <v>0</v>
      </c>
      <c r="Q46" s="18" t="n">
        <v>6.52744499</v>
      </c>
      <c r="R46" s="20" t="n">
        <v>0.86840048</v>
      </c>
    </row>
    <row r="47" spans="1:18">
      <c r="A47" s="15" t="s">
        <v>389</v>
      </c>
      <c r="B47" s="17" t="n">
        <v>3105</v>
      </c>
      <c r="C47" s="18">
        <f>(2708.0/B47*100)</f>
        <v/>
      </c>
      <c r="D47" s="19" t="n">
        <v>397</v>
      </c>
      <c r="E47" s="18" t="n">
        <v>47.77720636</v>
      </c>
      <c r="F47" s="20" t="n">
        <v>2.74727904</v>
      </c>
      <c r="G47" s="18" t="n">
        <v>45.75898325</v>
      </c>
      <c r="H47" s="20" t="n">
        <v>2.84141494</v>
      </c>
      <c r="I47" s="18" t="s">
        <v>349</v>
      </c>
      <c r="J47" s="20" t="s">
        <v>349</v>
      </c>
      <c r="K47" s="18" t="n">
        <v>0</v>
      </c>
      <c r="L47" s="20" t="n">
        <v>0</v>
      </c>
      <c r="M47" s="18" t="n">
        <v>0</v>
      </c>
      <c r="N47" s="20" t="n">
        <v>0</v>
      </c>
      <c r="O47" s="18" t="n">
        <v>0</v>
      </c>
      <c r="P47" s="20" t="n">
        <v>0</v>
      </c>
      <c r="Q47" s="18" t="n">
        <v>6.46381039</v>
      </c>
      <c r="R47" s="20" t="n">
        <v>1.34446289</v>
      </c>
    </row>
    <row r="48" spans="1:18">
      <c r="A48" s="15" t="s">
        <v>390</v>
      </c>
      <c r="B48" s="17" t="n">
        <v>5159</v>
      </c>
      <c r="C48" s="18">
        <f>(4538.0/B48*100)</f>
        <v/>
      </c>
      <c r="D48" s="19" t="n">
        <v>621</v>
      </c>
      <c r="E48" s="18" t="n">
        <v>27.07812261</v>
      </c>
      <c r="F48" s="20" t="n">
        <v>2.4958325</v>
      </c>
      <c r="G48" s="18" t="n">
        <v>70.92274467999999</v>
      </c>
      <c r="H48" s="20" t="n">
        <v>2.56827706</v>
      </c>
      <c r="I48" s="18" t="s">
        <v>349</v>
      </c>
      <c r="J48" s="20" t="s">
        <v>349</v>
      </c>
      <c r="K48" s="18" t="n">
        <v>0.52962898</v>
      </c>
      <c r="L48" s="20" t="n">
        <v>0.38588394</v>
      </c>
      <c r="M48" s="18" t="n">
        <v>0</v>
      </c>
      <c r="N48" s="20" t="n">
        <v>0</v>
      </c>
      <c r="O48" s="18" t="n">
        <v>0</v>
      </c>
      <c r="P48" s="20" t="n">
        <v>0</v>
      </c>
      <c r="Q48" s="18" t="n">
        <v>1.46950372</v>
      </c>
      <c r="R48" s="20" t="n">
        <v>0.61353301</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(4949.0/B50*100)</f>
        <v/>
      </c>
      <c r="D50" s="19" t="n">
        <v>688</v>
      </c>
      <c r="E50" s="18" t="n">
        <v>60.18123992</v>
      </c>
      <c r="F50" s="20" t="n">
        <v>2.67706735</v>
      </c>
      <c r="G50" s="18" t="n">
        <v>37.92557519</v>
      </c>
      <c r="H50" s="20" t="n">
        <v>2.65976109</v>
      </c>
      <c r="I50" s="18" t="s">
        <v>349</v>
      </c>
      <c r="J50" s="20" t="s">
        <v>349</v>
      </c>
      <c r="K50" s="18" t="n">
        <v>0.48753373</v>
      </c>
      <c r="L50" s="20" t="n">
        <v>0.30904257</v>
      </c>
      <c r="M50" s="18" t="n">
        <v>0</v>
      </c>
      <c r="N50" s="20" t="n">
        <v>0</v>
      </c>
      <c r="O50" s="18" t="n">
        <v>0</v>
      </c>
      <c r="P50" s="20" t="n">
        <v>0</v>
      </c>
      <c r="Q50" s="18" t="n">
        <v>1.40565116</v>
      </c>
      <c r="R50" s="20" t="n">
        <v>0.57364238</v>
      </c>
    </row>
    <row r="51" spans="1:18">
      <c r="A51" s="15" t="s">
        <v>393</v>
      </c>
      <c r="B51" s="17" t="n">
        <v>3372</v>
      </c>
      <c r="C51" s="18">
        <f>(2996.0/B51*100)</f>
        <v/>
      </c>
      <c r="D51" s="19" t="n">
        <v>376</v>
      </c>
      <c r="E51" s="18" t="n">
        <v>63.64708543</v>
      </c>
      <c r="F51" s="20" t="n">
        <v>2.99551874</v>
      </c>
      <c r="G51" s="18" t="n">
        <v>32.76782043</v>
      </c>
      <c r="H51" s="20" t="n">
        <v>2.9124412</v>
      </c>
      <c r="I51" s="18" t="s">
        <v>349</v>
      </c>
      <c r="J51" s="20" t="s">
        <v>349</v>
      </c>
      <c r="K51" s="18" t="n">
        <v>0.62046448</v>
      </c>
      <c r="L51" s="20" t="n">
        <v>0.44607115</v>
      </c>
      <c r="M51" s="18" t="n">
        <v>0</v>
      </c>
      <c r="N51" s="20" t="n">
        <v>0</v>
      </c>
      <c r="O51" s="18" t="n">
        <v>0</v>
      </c>
      <c r="P51" s="20" t="n">
        <v>0</v>
      </c>
      <c r="Q51" s="18" t="n">
        <v>2.96462965</v>
      </c>
      <c r="R51" s="20" t="n">
        <v>0.89447201</v>
      </c>
    </row>
    <row r="52" spans="1:18">
      <c r="A52" s="15" t="s">
        <v>394</v>
      </c>
      <c r="B52" s="17" t="n">
        <v>2796</v>
      </c>
      <c r="C52" s="18">
        <f>(2432.0/B52*100)</f>
        <v/>
      </c>
      <c r="D52" s="19" t="n">
        <v>364</v>
      </c>
      <c r="E52" s="18" t="n">
        <v>49.31423267</v>
      </c>
      <c r="F52" s="20" t="n">
        <v>2.71556829</v>
      </c>
      <c r="G52" s="18" t="n">
        <v>48.98960216</v>
      </c>
      <c r="H52" s="20" t="n">
        <v>2.78672976</v>
      </c>
      <c r="I52" s="18" t="s">
        <v>349</v>
      </c>
      <c r="J52" s="20" t="s">
        <v>349</v>
      </c>
      <c r="K52" s="18" t="n">
        <v>0.20813951</v>
      </c>
      <c r="L52" s="20" t="n">
        <v>0.20868119</v>
      </c>
      <c r="M52" s="18" t="n">
        <v>0</v>
      </c>
      <c r="N52" s="20" t="n">
        <v>0</v>
      </c>
      <c r="O52" s="18" t="n">
        <v>0</v>
      </c>
      <c r="P52" s="20" t="n">
        <v>0</v>
      </c>
      <c r="Q52" s="18" t="n">
        <v>1.48802566</v>
      </c>
      <c r="R52" s="20" t="n">
        <v>0.66992676</v>
      </c>
    </row>
    <row r="53" spans="1:18">
      <c r="A53" s="15" t="s">
        <v>395</v>
      </c>
      <c r="B53" s="17" t="n">
        <v>2811</v>
      </c>
      <c r="C53" s="18">
        <f>(2455.0/B53*100)</f>
        <v/>
      </c>
      <c r="D53" s="19" t="n">
        <v>356</v>
      </c>
      <c r="E53" s="18" t="n">
        <v>52.84482559</v>
      </c>
      <c r="F53" s="20" t="n">
        <v>2.49307598</v>
      </c>
      <c r="G53" s="18" t="n">
        <v>43.47811467</v>
      </c>
      <c r="H53" s="20" t="n">
        <v>2.6793998</v>
      </c>
      <c r="I53" s="18" t="s">
        <v>349</v>
      </c>
      <c r="J53" s="20" t="s">
        <v>349</v>
      </c>
      <c r="K53" s="18" t="n">
        <v>0</v>
      </c>
      <c r="L53" s="20" t="n">
        <v>0</v>
      </c>
      <c r="M53" s="18" t="n">
        <v>0</v>
      </c>
      <c r="N53" s="20" t="n">
        <v>0</v>
      </c>
      <c r="O53" s="18" t="n">
        <v>0</v>
      </c>
      <c r="P53" s="20" t="n">
        <v>0</v>
      </c>
      <c r="Q53" s="18" t="n">
        <v>3.67705974</v>
      </c>
      <c r="R53" s="20" t="n">
        <v>0.97758013</v>
      </c>
    </row>
    <row r="54" spans="1:18">
      <c r="A54" s="15" t="s">
        <v>396</v>
      </c>
      <c r="B54" s="17" t="n">
        <v>2266</v>
      </c>
      <c r="C54" s="18">
        <f>(1904.0/B54*100)</f>
        <v/>
      </c>
      <c r="D54" s="19" t="n">
        <v>362</v>
      </c>
      <c r="E54" s="18" t="n">
        <v>69.51890098</v>
      </c>
      <c r="F54" s="20" t="n">
        <v>3.064099</v>
      </c>
      <c r="G54" s="18" t="n">
        <v>20.27800643</v>
      </c>
      <c r="H54" s="20" t="n">
        <v>2.54879254</v>
      </c>
      <c r="I54" s="18" t="s">
        <v>349</v>
      </c>
      <c r="J54" s="20" t="s">
        <v>349</v>
      </c>
      <c r="K54" s="18" t="n">
        <v>4.2989338</v>
      </c>
      <c r="L54" s="20" t="n">
        <v>1.22019578</v>
      </c>
      <c r="M54" s="18" t="n">
        <v>0</v>
      </c>
      <c r="N54" s="20" t="n">
        <v>0</v>
      </c>
      <c r="O54" s="18" t="n">
        <v>0</v>
      </c>
      <c r="P54" s="20" t="n">
        <v>0</v>
      </c>
      <c r="Q54" s="18" t="n">
        <v>5.90415879</v>
      </c>
      <c r="R54" s="20" t="n">
        <v>1.41583539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(2353.0/B56*100)</f>
        <v/>
      </c>
      <c r="D56" s="19" t="n">
        <v>331</v>
      </c>
      <c r="E56" s="18" t="n">
        <v>22.55262914</v>
      </c>
      <c r="F56" s="20" t="n">
        <v>2.18736333</v>
      </c>
      <c r="G56" s="18" t="n">
        <v>75.75282989999999</v>
      </c>
      <c r="H56" s="20" t="n">
        <v>2.24643537</v>
      </c>
      <c r="I56" s="18" t="s">
        <v>349</v>
      </c>
      <c r="J56" s="20" t="s">
        <v>349</v>
      </c>
      <c r="K56" s="18" t="n">
        <v>0.24613579</v>
      </c>
      <c r="L56" s="20" t="n">
        <v>0.25101564</v>
      </c>
      <c r="M56" s="18" t="n">
        <v>0</v>
      </c>
      <c r="N56" s="20" t="n">
        <v>0</v>
      </c>
      <c r="O56" s="18" t="n">
        <v>0</v>
      </c>
      <c r="P56" s="20" t="n">
        <v>0</v>
      </c>
      <c r="Q56" s="18" t="n">
        <v>1.44840517</v>
      </c>
      <c r="R56" s="20" t="n">
        <v>1.18413033</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(2924.0/B61*100)</f>
        <v/>
      </c>
      <c r="D61" s="19" t="n">
        <v>400</v>
      </c>
      <c r="E61" s="18" t="n">
        <v>38.88278115</v>
      </c>
      <c r="F61" s="20" t="n">
        <v>3.24809236</v>
      </c>
      <c r="G61" s="18" t="n">
        <v>58.55304791</v>
      </c>
      <c r="H61" s="20" t="n">
        <v>3.17348716</v>
      </c>
      <c r="I61" s="18" t="s">
        <v>349</v>
      </c>
      <c r="J61" s="20" t="s">
        <v>349</v>
      </c>
      <c r="K61" s="18" t="n">
        <v>0</v>
      </c>
      <c r="L61" s="20" t="n">
        <v>0</v>
      </c>
      <c r="M61" s="18" t="n">
        <v>0</v>
      </c>
      <c r="N61" s="20" t="n">
        <v>0</v>
      </c>
      <c r="O61" s="18" t="n">
        <v>0</v>
      </c>
      <c r="P61" s="20" t="n">
        <v>0</v>
      </c>
      <c r="Q61" s="18" t="n">
        <v>2.56417094</v>
      </c>
      <c r="R61" s="20" t="n">
        <v>1.18118299</v>
      </c>
    </row>
    <row r="62" spans="1:18">
      <c r="A62" s="15" t="s">
        <v>404</v>
      </c>
      <c r="B62" s="17" t="n">
        <v>2246</v>
      </c>
      <c r="C62" s="18">
        <f>(1963.0/B62*100)</f>
        <v/>
      </c>
      <c r="D62" s="19" t="n">
        <v>283</v>
      </c>
      <c r="E62" s="18" t="n">
        <v>19.78853419</v>
      </c>
      <c r="F62" s="20" t="n">
        <v>2.42551279</v>
      </c>
      <c r="G62" s="18" t="n">
        <v>80.21146581000001</v>
      </c>
      <c r="H62" s="20" t="n">
        <v>2.42551279</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(2537.0/B66*100)</f>
        <v/>
      </c>
      <c r="D66" s="19" t="n">
        <v>357</v>
      </c>
      <c r="E66" s="18" t="n">
        <v>59.51036279</v>
      </c>
      <c r="F66" s="20" t="n">
        <v>2.59882889</v>
      </c>
      <c r="G66" s="18" t="n">
        <v>34.59447346</v>
      </c>
      <c r="H66" s="20" t="n">
        <v>2.43021289</v>
      </c>
      <c r="I66" s="18" t="s">
        <v>349</v>
      </c>
      <c r="J66" s="20" t="s">
        <v>349</v>
      </c>
      <c r="K66" s="18" t="n">
        <v>0</v>
      </c>
      <c r="L66" s="20" t="n">
        <v>0</v>
      </c>
      <c r="M66" s="18" t="n">
        <v>0</v>
      </c>
      <c r="N66" s="20" t="n">
        <v>0</v>
      </c>
      <c r="O66" s="18" t="n">
        <v>0</v>
      </c>
      <c r="P66" s="20" t="n">
        <v>0</v>
      </c>
      <c r="Q66" s="18" t="n">
        <v>5.89516374</v>
      </c>
      <c r="R66" s="20" t="n">
        <v>1.06803856</v>
      </c>
    </row>
    <row r="67" spans="1:18">
      <c r="A67" s="15" t="s">
        <v>409</v>
      </c>
      <c r="B67" s="17" t="n">
        <v>3511</v>
      </c>
      <c r="C67" s="18">
        <f>(3075.0/B67*100)</f>
        <v/>
      </c>
      <c r="D67" s="19" t="n">
        <v>436</v>
      </c>
      <c r="E67" s="18" t="n">
        <v>57.95187607</v>
      </c>
      <c r="F67" s="20" t="n">
        <v>2.59252618</v>
      </c>
      <c r="G67" s="18" t="n">
        <v>34.390315</v>
      </c>
      <c r="H67" s="20" t="n">
        <v>2.69954577</v>
      </c>
      <c r="I67" s="18" t="s">
        <v>349</v>
      </c>
      <c r="J67" s="20" t="s">
        <v>349</v>
      </c>
      <c r="K67" s="18" t="n">
        <v>0</v>
      </c>
      <c r="L67" s="20" t="n">
        <v>0</v>
      </c>
      <c r="M67" s="18" t="n">
        <v>0</v>
      </c>
      <c r="N67" s="20" t="n">
        <v>0</v>
      </c>
      <c r="O67" s="18" t="n">
        <v>0</v>
      </c>
      <c r="P67" s="20" t="n">
        <v>0</v>
      </c>
      <c r="Q67" s="18" t="n">
        <v>7.65780893</v>
      </c>
      <c r="R67" s="20" t="n">
        <v>1.31992811</v>
      </c>
    </row>
    <row r="68" spans="1:18">
      <c r="A68" s="15" t="s">
        <v>410</v>
      </c>
      <c r="B68" s="17" t="n">
        <v>6049</v>
      </c>
      <c r="C68" s="18">
        <f>(5056.0/B68*100)</f>
        <v/>
      </c>
      <c r="D68" s="19" t="n">
        <v>993</v>
      </c>
      <c r="E68" s="18" t="n">
        <v>60.22332537</v>
      </c>
      <c r="F68" s="20" t="n">
        <v>1.58156811</v>
      </c>
      <c r="G68" s="18" t="n">
        <v>33.10785728</v>
      </c>
      <c r="H68" s="20" t="n">
        <v>1.51436848</v>
      </c>
      <c r="I68" s="18" t="s">
        <v>349</v>
      </c>
      <c r="J68" s="20" t="s">
        <v>349</v>
      </c>
      <c r="K68" s="18" t="n">
        <v>1.29548012</v>
      </c>
      <c r="L68" s="20" t="n">
        <v>0.31699483</v>
      </c>
      <c r="M68" s="18" t="n">
        <v>0</v>
      </c>
      <c r="N68" s="20" t="n">
        <v>0</v>
      </c>
      <c r="O68" s="18" t="n">
        <v>0</v>
      </c>
      <c r="P68" s="20" t="n">
        <v>0</v>
      </c>
      <c r="Q68" s="18" t="n">
        <v>5.37333723</v>
      </c>
      <c r="R68" s="20" t="n">
        <v>0.76685517</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(2543.0/B70*100)</f>
        <v/>
      </c>
      <c r="D70" s="19" t="n">
        <v>386</v>
      </c>
      <c r="E70" s="18" t="n">
        <v>34.99446528</v>
      </c>
      <c r="F70" s="20" t="n">
        <v>2.17185124</v>
      </c>
      <c r="G70" s="18" t="n">
        <v>61.69112152</v>
      </c>
      <c r="H70" s="20" t="n">
        <v>2.31538584</v>
      </c>
      <c r="I70" s="18" t="s">
        <v>349</v>
      </c>
      <c r="J70" s="20" t="s">
        <v>349</v>
      </c>
      <c r="K70" s="18" t="n">
        <v>0</v>
      </c>
      <c r="L70" s="20" t="n">
        <v>0</v>
      </c>
      <c r="M70" s="18" t="n">
        <v>0</v>
      </c>
      <c r="N70" s="20" t="n">
        <v>0</v>
      </c>
      <c r="O70" s="18" t="n">
        <v>0</v>
      </c>
      <c r="P70" s="20" t="n">
        <v>0</v>
      </c>
      <c r="Q70" s="18" t="n">
        <v>3.3144132</v>
      </c>
      <c r="R70" s="20" t="n">
        <v>0.97230625</v>
      </c>
    </row>
    <row r="71" spans="1:18">
      <c r="A71" s="15" t="s">
        <v>413</v>
      </c>
      <c r="B71" s="17" t="n">
        <v>3142</v>
      </c>
      <c r="C71" s="18">
        <f>(2744.0/B71*100)</f>
        <v/>
      </c>
      <c r="D71" s="19" t="n">
        <v>398</v>
      </c>
      <c r="E71" s="18" t="n">
        <v>26.70899274</v>
      </c>
      <c r="F71" s="20" t="n">
        <v>2.24376917</v>
      </c>
      <c r="G71" s="18" t="n">
        <v>72.20039671000001</v>
      </c>
      <c r="H71" s="20" t="n">
        <v>2.29630756</v>
      </c>
      <c r="I71" s="18" t="s">
        <v>349</v>
      </c>
      <c r="J71" s="20" t="s">
        <v>349</v>
      </c>
      <c r="K71" s="18" t="n">
        <v>0.29650894</v>
      </c>
      <c r="L71" s="20" t="n">
        <v>0.29606956</v>
      </c>
      <c r="M71" s="18" t="n">
        <v>0</v>
      </c>
      <c r="N71" s="20" t="n">
        <v>0</v>
      </c>
      <c r="O71" s="18" t="n">
        <v>0</v>
      </c>
      <c r="P71" s="20" t="n">
        <v>0</v>
      </c>
      <c r="Q71" s="18" t="n">
        <v>0.79410161</v>
      </c>
      <c r="R71" s="20" t="n">
        <v>0.46080349</v>
      </c>
    </row>
    <row r="72" spans="1:18">
      <c r="A72" s="15" t="s">
        <v>414</v>
      </c>
      <c r="B72" s="17" t="n">
        <v>3889</v>
      </c>
      <c r="C72" s="18">
        <f>(3400.0/B72*100)</f>
        <v/>
      </c>
      <c r="D72" s="19" t="n">
        <v>489</v>
      </c>
      <c r="E72" s="18" t="n">
        <v>23.3111578</v>
      </c>
      <c r="F72" s="20" t="n">
        <v>1.94745643</v>
      </c>
      <c r="G72" s="18" t="n">
        <v>75.54699528</v>
      </c>
      <c r="H72" s="20" t="n">
        <v>1.95289242</v>
      </c>
      <c r="I72" s="18" t="s">
        <v>349</v>
      </c>
      <c r="J72" s="20" t="s">
        <v>349</v>
      </c>
      <c r="K72" s="18" t="n">
        <v>0</v>
      </c>
      <c r="L72" s="20" t="n">
        <v>0</v>
      </c>
      <c r="M72" s="18" t="n">
        <v>0</v>
      </c>
      <c r="N72" s="20" t="n">
        <v>0</v>
      </c>
      <c r="O72" s="18" t="n">
        <v>0</v>
      </c>
      <c r="P72" s="20" t="n">
        <v>0</v>
      </c>
      <c r="Q72" s="18" t="n">
        <v>1.14184692</v>
      </c>
      <c r="R72" s="20" t="n">
        <v>0.42982625</v>
      </c>
    </row>
    <row r="73" spans="1:18">
      <c r="A73" s="15" t="s">
        <v>415</v>
      </c>
      <c r="B73" s="17" t="n">
        <v>3597</v>
      </c>
      <c r="C73" s="18">
        <f>(3164.0/B73*100)</f>
        <v/>
      </c>
      <c r="D73" s="19" t="n">
        <v>433</v>
      </c>
      <c r="E73" s="18" t="n">
        <v>43.67412401</v>
      </c>
      <c r="F73" s="20" t="n">
        <v>2.54065284</v>
      </c>
      <c r="G73" s="18" t="n">
        <v>46.20311888</v>
      </c>
      <c r="H73" s="20" t="n">
        <v>3.06215055</v>
      </c>
      <c r="I73" s="18" t="s">
        <v>349</v>
      </c>
      <c r="J73" s="20" t="s">
        <v>349</v>
      </c>
      <c r="K73" s="18" t="n">
        <v>0</v>
      </c>
      <c r="L73" s="20" t="n">
        <v>0</v>
      </c>
      <c r="M73" s="18" t="n">
        <v>0</v>
      </c>
      <c r="N73" s="20" t="n">
        <v>0</v>
      </c>
      <c r="O73" s="18" t="n">
        <v>0</v>
      </c>
      <c r="P73" s="20" t="n">
        <v>0</v>
      </c>
      <c r="Q73" s="18" t="n">
        <v>10.12275711</v>
      </c>
      <c r="R73" s="20" t="n">
        <v>2.10084225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(2135.0/B75*100)</f>
        <v/>
      </c>
      <c r="D75" s="19" t="n">
        <v>271</v>
      </c>
      <c r="E75" s="18" t="n">
        <v>66.23616789</v>
      </c>
      <c r="F75" s="20" t="n">
        <v>3.33709621</v>
      </c>
      <c r="G75" s="18" t="n">
        <v>24.3505369</v>
      </c>
      <c r="H75" s="20" t="n">
        <v>2.97911941</v>
      </c>
      <c r="I75" s="18" t="s">
        <v>349</v>
      </c>
      <c r="J75" s="20" t="s">
        <v>349</v>
      </c>
      <c r="K75" s="18" t="n">
        <v>0.87001556</v>
      </c>
      <c r="L75" s="20" t="n">
        <v>0.75853146</v>
      </c>
      <c r="M75" s="18" t="n">
        <v>0</v>
      </c>
      <c r="N75" s="20" t="n">
        <v>0</v>
      </c>
      <c r="O75" s="18" t="n">
        <v>0</v>
      </c>
      <c r="P75" s="20" t="n">
        <v>0</v>
      </c>
      <c r="Q75" s="18" t="n">
        <v>8.543279650000001</v>
      </c>
      <c r="R75" s="20" t="n">
        <v>1.95440375</v>
      </c>
    </row>
    <row r="76" spans="1:18">
      <c r="A76" s="15" t="s">
        <v>418</v>
      </c>
      <c r="B76" s="17" t="n">
        <v>7052</v>
      </c>
      <c r="C76" s="18">
        <f>(6196.0/B76*100)</f>
        <v/>
      </c>
      <c r="D76" s="19" t="n">
        <v>856</v>
      </c>
      <c r="E76" s="18" t="n">
        <v>55.40652826</v>
      </c>
      <c r="F76" s="20" t="n">
        <v>2.16138644</v>
      </c>
      <c r="G76" s="18" t="n">
        <v>39.34348373</v>
      </c>
      <c r="H76" s="20" t="n">
        <v>2.13767033</v>
      </c>
      <c r="I76" s="18" t="s">
        <v>349</v>
      </c>
      <c r="J76" s="20" t="s">
        <v>349</v>
      </c>
      <c r="K76" s="18" t="n">
        <v>0.65942674</v>
      </c>
      <c r="L76" s="20" t="n">
        <v>0.3448159</v>
      </c>
      <c r="M76" s="18" t="n">
        <v>0</v>
      </c>
      <c r="N76" s="20" t="n">
        <v>0</v>
      </c>
      <c r="O76" s="18" t="n">
        <v>0</v>
      </c>
      <c r="P76" s="20" t="n">
        <v>0</v>
      </c>
      <c r="Q76" s="18" t="n">
        <v>4.59056127</v>
      </c>
      <c r="R76" s="20" t="n">
        <v>1.05055551</v>
      </c>
    </row>
    <row r="77" spans="1:18">
      <c r="A77" s="15" t="s">
        <v>419</v>
      </c>
      <c r="B77" s="17" t="n">
        <v>2908</v>
      </c>
      <c r="C77" s="18">
        <f>(2555.0/B77*100)</f>
        <v/>
      </c>
      <c r="D77" s="19" t="n">
        <v>353</v>
      </c>
      <c r="E77" s="18" t="n">
        <v>49.06354724</v>
      </c>
      <c r="F77" s="20" t="n">
        <v>3.01326547</v>
      </c>
      <c r="G77" s="18" t="n">
        <v>48.92912308</v>
      </c>
      <c r="H77" s="20" t="n">
        <v>3.1494101</v>
      </c>
      <c r="I77" s="18" t="s">
        <v>349</v>
      </c>
      <c r="J77" s="20" t="s">
        <v>349</v>
      </c>
      <c r="K77" s="18" t="n">
        <v>0.24417905</v>
      </c>
      <c r="L77" s="20" t="n">
        <v>0.26062397</v>
      </c>
      <c r="M77" s="18" t="n">
        <v>0</v>
      </c>
      <c r="N77" s="20" t="n">
        <v>0</v>
      </c>
      <c r="O77" s="18" t="n">
        <v>0</v>
      </c>
      <c r="P77" s="20" t="n">
        <v>0</v>
      </c>
      <c r="Q77" s="18" t="n">
        <v>1.76315063</v>
      </c>
      <c r="R77" s="20" t="n">
        <v>0.70445579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(3641.0/B81*100)</f>
        <v/>
      </c>
      <c r="D81" s="19" t="n">
        <v>522</v>
      </c>
      <c r="E81" s="18" t="n">
        <v>46.1562332</v>
      </c>
      <c r="F81" s="20" t="n">
        <v>2.52855305</v>
      </c>
      <c r="G81" s="18" t="n">
        <v>51.01824443</v>
      </c>
      <c r="H81" s="20" t="n">
        <v>2.72787981</v>
      </c>
      <c r="I81" s="18" t="s">
        <v>349</v>
      </c>
      <c r="J81" s="20" t="s">
        <v>349</v>
      </c>
      <c r="K81" s="18" t="n">
        <v>0</v>
      </c>
      <c r="L81" s="20" t="n">
        <v>0</v>
      </c>
      <c r="M81" s="18" t="n">
        <v>0</v>
      </c>
      <c r="N81" s="20" t="n">
        <v>0</v>
      </c>
      <c r="O81" s="18" t="n">
        <v>0</v>
      </c>
      <c r="P81" s="20" t="n">
        <v>0</v>
      </c>
      <c r="Q81" s="18" t="n">
        <v>2.82552237</v>
      </c>
      <c r="R81" s="20" t="n">
        <v>0.88023653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(6436.0/B7*100)</f>
        <v/>
      </c>
      <c r="D7" s="19" t="n">
        <v>931</v>
      </c>
      <c r="E7" s="18" t="n">
        <v>51.20186922</v>
      </c>
      <c r="F7" s="20" t="n">
        <v>2.00497449</v>
      </c>
      <c r="G7" s="18" t="n">
        <v>46.37050507</v>
      </c>
      <c r="H7" s="20" t="n">
        <v>2.05948336</v>
      </c>
      <c r="I7" s="18" t="s">
        <v>349</v>
      </c>
      <c r="J7" s="20" t="s">
        <v>349</v>
      </c>
      <c r="K7" s="18" t="n">
        <v>0.42808522</v>
      </c>
      <c r="L7" s="20" t="n">
        <v>0.26466198</v>
      </c>
      <c r="M7" s="18" t="n">
        <v>0</v>
      </c>
      <c r="N7" s="20" t="n">
        <v>0</v>
      </c>
      <c r="O7" s="18" t="n">
        <v>0</v>
      </c>
      <c r="P7" s="20" t="n">
        <v>0</v>
      </c>
      <c r="Q7" s="18" t="n">
        <v>1.99954048</v>
      </c>
      <c r="R7" s="20" t="n">
        <v>0.39450087</v>
      </c>
    </row>
    <row r="8" spans="1:18">
      <c r="A8" s="15" t="s">
        <v>350</v>
      </c>
      <c r="B8" s="17" t="n">
        <v>3564</v>
      </c>
      <c r="C8" s="18">
        <f>(3125.0/B8*100)</f>
        <v/>
      </c>
      <c r="D8" s="19" t="n">
        <v>439</v>
      </c>
      <c r="E8" s="18" t="n">
        <v>48.877928</v>
      </c>
      <c r="F8" s="20" t="n">
        <v>2.90352959</v>
      </c>
      <c r="G8" s="18" t="n">
        <v>50.37792246</v>
      </c>
      <c r="H8" s="20" t="n">
        <v>2.99150063</v>
      </c>
      <c r="I8" s="18" t="s">
        <v>349</v>
      </c>
      <c r="J8" s="20" t="s">
        <v>349</v>
      </c>
      <c r="K8" s="18" t="n">
        <v>0</v>
      </c>
      <c r="L8" s="20" t="n">
        <v>0</v>
      </c>
      <c r="M8" s="18" t="n">
        <v>0</v>
      </c>
      <c r="N8" s="20" t="n">
        <v>0</v>
      </c>
      <c r="O8" s="18" t="n">
        <v>0</v>
      </c>
      <c r="P8" s="20" t="n">
        <v>0</v>
      </c>
      <c r="Q8" s="18" t="n">
        <v>0.7441495299999999</v>
      </c>
      <c r="R8" s="20" t="n">
        <v>0.42545811</v>
      </c>
    </row>
    <row r="9" spans="1:18">
      <c r="A9" s="15" t="s">
        <v>351</v>
      </c>
      <c r="B9" s="17" t="n">
        <v>4899</v>
      </c>
      <c r="C9" s="18">
        <f>(4331.0/B9*100)</f>
        <v/>
      </c>
      <c r="D9" s="19" t="n">
        <v>568</v>
      </c>
      <c r="E9" s="18" t="n">
        <v>50.29175987</v>
      </c>
      <c r="F9" s="20" t="n">
        <v>2.29025175</v>
      </c>
      <c r="G9" s="18" t="n">
        <v>48.79258344</v>
      </c>
      <c r="H9" s="20" t="n">
        <v>2.32329666</v>
      </c>
      <c r="I9" s="18" t="s">
        <v>349</v>
      </c>
      <c r="J9" s="20" t="s">
        <v>349</v>
      </c>
      <c r="K9" s="18" t="n">
        <v>0.24726162</v>
      </c>
      <c r="L9" s="20" t="n">
        <v>0.24721536</v>
      </c>
      <c r="M9" s="18" t="n">
        <v>0</v>
      </c>
      <c r="N9" s="20" t="n">
        <v>0</v>
      </c>
      <c r="O9" s="18" t="n">
        <v>0</v>
      </c>
      <c r="P9" s="20" t="n">
        <v>0</v>
      </c>
      <c r="Q9" s="18" t="n">
        <v>0.66839506</v>
      </c>
      <c r="R9" s="20" t="n">
        <v>0.31211672</v>
      </c>
    </row>
    <row r="10" spans="1:18">
      <c r="A10" s="15" t="s">
        <v>352</v>
      </c>
      <c r="B10" s="17" t="n">
        <v>10036</v>
      </c>
      <c r="C10" s="18">
        <f>(8817.0/B10*100)</f>
        <v/>
      </c>
      <c r="D10" s="19" t="n">
        <v>1219</v>
      </c>
      <c r="E10" s="18" t="n">
        <v>46.91816228</v>
      </c>
      <c r="F10" s="20" t="n">
        <v>1.97394877</v>
      </c>
      <c r="G10" s="18" t="n">
        <v>50.54170332</v>
      </c>
      <c r="H10" s="20" t="n">
        <v>1.9043275</v>
      </c>
      <c r="I10" s="18" t="s">
        <v>349</v>
      </c>
      <c r="J10" s="20" t="s">
        <v>349</v>
      </c>
      <c r="K10" s="18" t="n">
        <v>0.09667104999999999</v>
      </c>
      <c r="L10" s="20" t="n">
        <v>0.05943922</v>
      </c>
      <c r="M10" s="18" t="n">
        <v>0</v>
      </c>
      <c r="N10" s="20" t="n">
        <v>0</v>
      </c>
      <c r="O10" s="18" t="n">
        <v>0</v>
      </c>
      <c r="P10" s="20" t="n">
        <v>0</v>
      </c>
      <c r="Q10" s="18" t="n">
        <v>2.44346336</v>
      </c>
      <c r="R10" s="20" t="n">
        <v>0.8098225999999999</v>
      </c>
    </row>
    <row r="11" spans="1:18">
      <c r="A11" s="15" t="s">
        <v>353</v>
      </c>
      <c r="B11" s="17" t="n">
        <v>3553</v>
      </c>
      <c r="C11" s="18">
        <f>(3128.0/B11*100)</f>
        <v/>
      </c>
      <c r="D11" s="19" t="n">
        <v>425</v>
      </c>
      <c r="E11" s="18" t="n">
        <v>64.06835012000001</v>
      </c>
      <c r="F11" s="20" t="n">
        <v>2.90504785</v>
      </c>
      <c r="G11" s="18" t="n">
        <v>33.23357616</v>
      </c>
      <c r="H11" s="20" t="n">
        <v>2.64057709</v>
      </c>
      <c r="I11" s="18" t="s">
        <v>349</v>
      </c>
      <c r="J11" s="20" t="s">
        <v>349</v>
      </c>
      <c r="K11" s="18" t="n">
        <v>0.39227217</v>
      </c>
      <c r="L11" s="20" t="n">
        <v>0.31921632</v>
      </c>
      <c r="M11" s="18" t="n">
        <v>0</v>
      </c>
      <c r="N11" s="20" t="n">
        <v>0</v>
      </c>
      <c r="O11" s="18" t="n">
        <v>0</v>
      </c>
      <c r="P11" s="20" t="n">
        <v>0</v>
      </c>
      <c r="Q11" s="18" t="n">
        <v>2.30580155</v>
      </c>
      <c r="R11" s="20" t="n">
        <v>0.88844924</v>
      </c>
    </row>
    <row r="12" spans="1:18">
      <c r="A12" s="15" t="s">
        <v>354</v>
      </c>
      <c r="B12" s="17" t="n">
        <v>3472</v>
      </c>
      <c r="C12" s="18">
        <f>(3060.0/B12*100)</f>
        <v/>
      </c>
      <c r="D12" s="19" t="n">
        <v>412</v>
      </c>
      <c r="E12" s="18" t="n">
        <v>49.1414383</v>
      </c>
      <c r="F12" s="20" t="n">
        <v>2.80486529</v>
      </c>
      <c r="G12" s="18" t="n">
        <v>49.91495714</v>
      </c>
      <c r="H12" s="20" t="n">
        <v>2.73641432</v>
      </c>
      <c r="I12" s="18" t="s">
        <v>349</v>
      </c>
      <c r="J12" s="20" t="s">
        <v>349</v>
      </c>
      <c r="K12" s="18" t="n">
        <v>0</v>
      </c>
      <c r="L12" s="20" t="n">
        <v>0</v>
      </c>
      <c r="M12" s="18" t="n">
        <v>0</v>
      </c>
      <c r="N12" s="20" t="n">
        <v>0</v>
      </c>
      <c r="O12" s="18" t="n">
        <v>0</v>
      </c>
      <c r="P12" s="20" t="n">
        <v>0</v>
      </c>
      <c r="Q12" s="18" t="n">
        <v>0.94360457</v>
      </c>
      <c r="R12" s="20" t="n">
        <v>0.5655671799999999</v>
      </c>
    </row>
    <row r="13" spans="1:18">
      <c r="A13" s="15" t="s">
        <v>355</v>
      </c>
      <c r="B13" s="17" t="n">
        <v>3559</v>
      </c>
      <c r="C13" s="18">
        <f>(3136.0/B13*100)</f>
        <v/>
      </c>
      <c r="D13" s="19" t="n">
        <v>423</v>
      </c>
      <c r="E13" s="18" t="n">
        <v>50.14872353</v>
      </c>
      <c r="F13" s="20" t="n">
        <v>2.34961754</v>
      </c>
      <c r="G13" s="18" t="n">
        <v>48.03469694</v>
      </c>
      <c r="H13" s="20" t="n">
        <v>2.20428389</v>
      </c>
      <c r="I13" s="18" t="s">
        <v>349</v>
      </c>
      <c r="J13" s="20" t="s">
        <v>349</v>
      </c>
      <c r="K13" s="18" t="n">
        <v>0.55349379</v>
      </c>
      <c r="L13" s="20" t="n">
        <v>0.56122264</v>
      </c>
      <c r="M13" s="18" t="n">
        <v>0</v>
      </c>
      <c r="N13" s="20" t="n">
        <v>0</v>
      </c>
      <c r="O13" s="18" t="n">
        <v>0</v>
      </c>
      <c r="P13" s="20" t="n">
        <v>0</v>
      </c>
      <c r="Q13" s="18" t="n">
        <v>1.26308574</v>
      </c>
      <c r="R13" s="20" t="n">
        <v>0.46651813</v>
      </c>
    </row>
    <row r="14" spans="1:18">
      <c r="A14" s="15" t="s">
        <v>356</v>
      </c>
      <c r="B14" s="17" t="n">
        <v>2799</v>
      </c>
      <c r="C14" s="18">
        <f>(2474.0/B14*100)</f>
        <v/>
      </c>
      <c r="D14" s="19" t="n">
        <v>325</v>
      </c>
      <c r="E14" s="18" t="n">
        <v>49.28879655</v>
      </c>
      <c r="F14" s="20" t="n">
        <v>3.54685879</v>
      </c>
      <c r="G14" s="18" t="n">
        <v>50.18339897</v>
      </c>
      <c r="H14" s="20" t="n">
        <v>3.51978588</v>
      </c>
      <c r="I14" s="18" t="s">
        <v>349</v>
      </c>
      <c r="J14" s="20" t="s">
        <v>349</v>
      </c>
      <c r="K14" s="18" t="n">
        <v>0</v>
      </c>
      <c r="L14" s="20" t="n">
        <v>0</v>
      </c>
      <c r="M14" s="18" t="n">
        <v>0</v>
      </c>
      <c r="N14" s="20" t="n">
        <v>0</v>
      </c>
      <c r="O14" s="18" t="n">
        <v>0</v>
      </c>
      <c r="P14" s="20" t="n">
        <v>0</v>
      </c>
      <c r="Q14" s="18" t="n">
        <v>0.52780448</v>
      </c>
      <c r="R14" s="20" t="n">
        <v>0.3700374</v>
      </c>
    </row>
    <row r="15" spans="1:18">
      <c r="A15" s="15" t="s">
        <v>357</v>
      </c>
      <c r="B15" s="17" t="n">
        <v>3019</v>
      </c>
      <c r="C15" s="18">
        <f>(2649.0/B15*100)</f>
        <v/>
      </c>
      <c r="D15" s="19" t="n">
        <v>370</v>
      </c>
      <c r="E15" s="18" t="n">
        <v>49.73815486</v>
      </c>
      <c r="F15" s="20" t="n">
        <v>2.70481593</v>
      </c>
      <c r="G15" s="18" t="n">
        <v>49.46762301</v>
      </c>
      <c r="H15" s="20" t="n">
        <v>2.74205441</v>
      </c>
      <c r="I15" s="18" t="s">
        <v>349</v>
      </c>
      <c r="J15" s="20" t="s">
        <v>349</v>
      </c>
      <c r="K15" s="18" t="n">
        <v>0</v>
      </c>
      <c r="L15" s="20" t="n">
        <v>0</v>
      </c>
      <c r="M15" s="18" t="n">
        <v>0</v>
      </c>
      <c r="N15" s="20" t="n">
        <v>0</v>
      </c>
      <c r="O15" s="18" t="n">
        <v>0</v>
      </c>
      <c r="P15" s="20" t="n">
        <v>0</v>
      </c>
      <c r="Q15" s="18" t="n">
        <v>0.79422214</v>
      </c>
      <c r="R15" s="20" t="n">
        <v>0.45592251</v>
      </c>
    </row>
    <row r="16" spans="1:18">
      <c r="A16" s="15" t="s">
        <v>358</v>
      </c>
      <c r="B16" s="17" t="n">
        <v>2997</v>
      </c>
      <c r="C16" s="18">
        <f>(2638.0/B16*100)</f>
        <v/>
      </c>
      <c r="D16" s="19" t="n">
        <v>359</v>
      </c>
      <c r="E16" s="18" t="n">
        <v>48.71840709</v>
      </c>
      <c r="F16" s="20" t="n">
        <v>3.17911645</v>
      </c>
      <c r="G16" s="18" t="n">
        <v>50.42114964</v>
      </c>
      <c r="H16" s="20" t="n">
        <v>3.18311146</v>
      </c>
      <c r="I16" s="18" t="s">
        <v>349</v>
      </c>
      <c r="J16" s="20" t="s">
        <v>349</v>
      </c>
      <c r="K16" s="18" t="n">
        <v>0.27616308</v>
      </c>
      <c r="L16" s="20" t="n">
        <v>0.34041007</v>
      </c>
      <c r="M16" s="18" t="n">
        <v>0</v>
      </c>
      <c r="N16" s="20" t="n">
        <v>0</v>
      </c>
      <c r="O16" s="18" t="n">
        <v>0</v>
      </c>
      <c r="P16" s="20" t="n">
        <v>0</v>
      </c>
      <c r="Q16" s="18" t="n">
        <v>0.58428019</v>
      </c>
      <c r="R16" s="20" t="n">
        <v>0.40683056</v>
      </c>
    </row>
    <row r="17" spans="1:18">
      <c r="A17" s="15" t="s">
        <v>359</v>
      </c>
      <c r="B17" s="17" t="n">
        <v>3307</v>
      </c>
      <c r="C17" s="18">
        <f>(2890.0/B17*100)</f>
        <v/>
      </c>
      <c r="D17" s="19" t="n">
        <v>417</v>
      </c>
      <c r="E17" s="18" t="n">
        <v>51.20569633</v>
      </c>
      <c r="F17" s="20" t="n">
        <v>2.45605553</v>
      </c>
      <c r="G17" s="18" t="n">
        <v>47.41318369</v>
      </c>
      <c r="H17" s="20" t="n">
        <v>2.49358546</v>
      </c>
      <c r="I17" s="18" t="s">
        <v>349</v>
      </c>
      <c r="J17" s="20" t="s">
        <v>349</v>
      </c>
      <c r="K17" s="18" t="n">
        <v>0.17399128</v>
      </c>
      <c r="L17" s="20" t="n">
        <v>0.1805733</v>
      </c>
      <c r="M17" s="18" t="n">
        <v>0</v>
      </c>
      <c r="N17" s="20" t="n">
        <v>0</v>
      </c>
      <c r="O17" s="18" t="n">
        <v>0</v>
      </c>
      <c r="P17" s="20" t="n">
        <v>0</v>
      </c>
      <c r="Q17" s="18" t="n">
        <v>1.2071287</v>
      </c>
      <c r="R17" s="20" t="n">
        <v>0.49672261</v>
      </c>
    </row>
    <row r="18" spans="1:18">
      <c r="A18" s="15" t="s">
        <v>360</v>
      </c>
      <c r="B18" s="17" t="n">
        <v>2826</v>
      </c>
      <c r="C18" s="18">
        <f>(2484.0/B18*100)</f>
        <v/>
      </c>
      <c r="D18" s="19" t="n">
        <v>342</v>
      </c>
      <c r="E18" s="18" t="n">
        <v>54.46064062</v>
      </c>
      <c r="F18" s="20" t="n">
        <v>3.03404779</v>
      </c>
      <c r="G18" s="18" t="n">
        <v>44.02982918</v>
      </c>
      <c r="H18" s="20" t="n">
        <v>3.03998741</v>
      </c>
      <c r="I18" s="18" t="s">
        <v>349</v>
      </c>
      <c r="J18" s="20" t="s">
        <v>349</v>
      </c>
      <c r="K18" s="18" t="n">
        <v>0</v>
      </c>
      <c r="L18" s="20" t="n">
        <v>0</v>
      </c>
      <c r="M18" s="18" t="n">
        <v>0</v>
      </c>
      <c r="N18" s="20" t="n">
        <v>0</v>
      </c>
      <c r="O18" s="18" t="n">
        <v>0</v>
      </c>
      <c r="P18" s="20" t="n">
        <v>0</v>
      </c>
      <c r="Q18" s="18" t="n">
        <v>1.5095302</v>
      </c>
      <c r="R18" s="20" t="n">
        <v>0.57236468</v>
      </c>
    </row>
    <row r="19" spans="1:18">
      <c r="A19" s="15" t="s">
        <v>361</v>
      </c>
      <c r="B19" s="17" t="n">
        <v>2808</v>
      </c>
      <c r="C19" s="18">
        <f>(2458.0/B19*100)</f>
        <v/>
      </c>
      <c r="D19" s="19" t="n">
        <v>350</v>
      </c>
      <c r="E19" s="18" t="n">
        <v>65.15813273000001</v>
      </c>
      <c r="F19" s="20" t="n">
        <v>2.54052228</v>
      </c>
      <c r="G19" s="18" t="n">
        <v>32.87892959</v>
      </c>
      <c r="H19" s="20" t="n">
        <v>2.46310214</v>
      </c>
      <c r="I19" s="18" t="s">
        <v>349</v>
      </c>
      <c r="J19" s="20" t="s">
        <v>349</v>
      </c>
      <c r="K19" s="18" t="n">
        <v>0</v>
      </c>
      <c r="L19" s="20" t="n">
        <v>0</v>
      </c>
      <c r="M19" s="18" t="n">
        <v>0</v>
      </c>
      <c r="N19" s="20" t="n">
        <v>0</v>
      </c>
      <c r="O19" s="18" t="n">
        <v>0</v>
      </c>
      <c r="P19" s="20" t="n">
        <v>0</v>
      </c>
      <c r="Q19" s="18" t="n">
        <v>1.96293768</v>
      </c>
      <c r="R19" s="20" t="n">
        <v>1.24278692</v>
      </c>
    </row>
    <row r="20" spans="1:18">
      <c r="A20" s="15" t="s">
        <v>362</v>
      </c>
      <c r="B20" s="17" t="n">
        <v>1630</v>
      </c>
      <c r="C20" s="18">
        <f>(1431.0/B20*100)</f>
        <v/>
      </c>
      <c r="D20" s="19" t="n">
        <v>199</v>
      </c>
      <c r="E20" s="18" t="n">
        <v>58.57939795</v>
      </c>
      <c r="F20" s="20" t="n">
        <v>3.46474616</v>
      </c>
      <c r="G20" s="18" t="n">
        <v>39.24536175</v>
      </c>
      <c r="H20" s="20" t="n">
        <v>3.18306096</v>
      </c>
      <c r="I20" s="18" t="s">
        <v>349</v>
      </c>
      <c r="J20" s="20" t="s">
        <v>349</v>
      </c>
      <c r="K20" s="18" t="n">
        <v>0</v>
      </c>
      <c r="L20" s="20" t="n">
        <v>0</v>
      </c>
      <c r="M20" s="18" t="n">
        <v>0</v>
      </c>
      <c r="N20" s="20" t="n">
        <v>0</v>
      </c>
      <c r="O20" s="18" t="n">
        <v>0</v>
      </c>
      <c r="P20" s="20" t="n">
        <v>0</v>
      </c>
      <c r="Q20" s="18" t="n">
        <v>2.1752403</v>
      </c>
      <c r="R20" s="20" t="n">
        <v>1.0754394</v>
      </c>
    </row>
    <row r="21" spans="1:18">
      <c r="A21" s="15" t="s">
        <v>363</v>
      </c>
      <c r="B21" s="17" t="n">
        <v>2908</v>
      </c>
      <c r="C21" s="18">
        <f>(2413.0/B21*100)</f>
        <v/>
      </c>
      <c r="D21" s="19" t="n">
        <v>495</v>
      </c>
      <c r="E21" s="18" t="n">
        <v>51.13186513</v>
      </c>
      <c r="F21" s="20" t="n">
        <v>2.38955842</v>
      </c>
      <c r="G21" s="18" t="n">
        <v>48.00464409</v>
      </c>
      <c r="H21" s="20" t="n">
        <v>2.39215684</v>
      </c>
      <c r="I21" s="18" t="s">
        <v>349</v>
      </c>
      <c r="J21" s="20" t="s">
        <v>349</v>
      </c>
      <c r="K21" s="18" t="n">
        <v>0.18913373</v>
      </c>
      <c r="L21" s="20" t="n">
        <v>0.18853547</v>
      </c>
      <c r="M21" s="18" t="n">
        <v>0</v>
      </c>
      <c r="N21" s="20" t="n">
        <v>0</v>
      </c>
      <c r="O21" s="18" t="n">
        <v>0</v>
      </c>
      <c r="P21" s="20" t="n">
        <v>0</v>
      </c>
      <c r="Q21" s="18" t="n">
        <v>0.67435705</v>
      </c>
      <c r="R21" s="20" t="n">
        <v>0.42956036</v>
      </c>
    </row>
    <row r="22" spans="1:18">
      <c r="A22" s="15" t="s">
        <v>364</v>
      </c>
      <c r="B22" s="17" t="n">
        <v>2931</v>
      </c>
      <c r="C22" s="18">
        <f>(2572.0/B22*100)</f>
        <v/>
      </c>
      <c r="D22" s="19" t="n">
        <v>359</v>
      </c>
      <c r="E22" s="18" t="n">
        <v>53.34850146</v>
      </c>
      <c r="F22" s="20" t="n">
        <v>3.24916466</v>
      </c>
      <c r="G22" s="18" t="n">
        <v>44.31177722</v>
      </c>
      <c r="H22" s="20" t="n">
        <v>3.32180381</v>
      </c>
      <c r="I22" s="18" t="s">
        <v>349</v>
      </c>
      <c r="J22" s="20" t="s">
        <v>349</v>
      </c>
      <c r="K22" s="18" t="n">
        <v>0.52133022</v>
      </c>
      <c r="L22" s="20" t="n">
        <v>0.53033021</v>
      </c>
      <c r="M22" s="18" t="n">
        <v>0</v>
      </c>
      <c r="N22" s="20" t="n">
        <v>0</v>
      </c>
      <c r="O22" s="18" t="n">
        <v>0</v>
      </c>
      <c r="P22" s="20" t="n">
        <v>0</v>
      </c>
      <c r="Q22" s="18" t="n">
        <v>1.81839111</v>
      </c>
      <c r="R22" s="20" t="n">
        <v>1.21754476</v>
      </c>
    </row>
    <row r="23" spans="1:18">
      <c r="A23" s="15" t="s">
        <v>365</v>
      </c>
      <c r="B23" s="17" t="n">
        <v>5791</v>
      </c>
      <c r="C23" s="18">
        <f>(5064.0/B23*100)</f>
        <v/>
      </c>
      <c r="D23" s="19" t="n">
        <v>727</v>
      </c>
      <c r="E23" s="18" t="n">
        <v>59.46687372</v>
      </c>
      <c r="F23" s="20" t="n">
        <v>2.24555062</v>
      </c>
      <c r="G23" s="18" t="n">
        <v>39.86065061</v>
      </c>
      <c r="H23" s="20" t="n">
        <v>2.29235025</v>
      </c>
      <c r="I23" s="18" t="s">
        <v>349</v>
      </c>
      <c r="J23" s="20" t="s">
        <v>349</v>
      </c>
      <c r="K23" s="18" t="n">
        <v>0</v>
      </c>
      <c r="L23" s="20" t="n">
        <v>0</v>
      </c>
      <c r="M23" s="18" t="n">
        <v>0</v>
      </c>
      <c r="N23" s="20" t="n">
        <v>0</v>
      </c>
      <c r="O23" s="18" t="n">
        <v>0</v>
      </c>
      <c r="P23" s="20" t="n">
        <v>0</v>
      </c>
      <c r="Q23" s="18" t="n">
        <v>0.67247567</v>
      </c>
      <c r="R23" s="20" t="n">
        <v>0.32731658</v>
      </c>
    </row>
    <row r="24" spans="1:18">
      <c r="A24" s="15" t="s">
        <v>366</v>
      </c>
      <c r="B24" s="17" t="n">
        <v>3338</v>
      </c>
      <c r="C24" s="18">
        <f>(2921.0/B24*100)</f>
        <v/>
      </c>
      <c r="D24" s="19" t="n">
        <v>417</v>
      </c>
      <c r="E24" s="18" t="n">
        <v>37.49046909</v>
      </c>
      <c r="F24" s="20" t="n">
        <v>2.41435499</v>
      </c>
      <c r="G24" s="18" t="n">
        <v>61.58435004</v>
      </c>
      <c r="H24" s="20" t="n">
        <v>2.43395461</v>
      </c>
      <c r="I24" s="18" t="s">
        <v>349</v>
      </c>
      <c r="J24" s="20" t="s">
        <v>349</v>
      </c>
      <c r="K24" s="18" t="n">
        <v>0.17011473</v>
      </c>
      <c r="L24" s="20" t="n">
        <v>0.17093135</v>
      </c>
      <c r="M24" s="18" t="n">
        <v>0</v>
      </c>
      <c r="N24" s="20" t="n">
        <v>0</v>
      </c>
      <c r="O24" s="18" t="n">
        <v>0</v>
      </c>
      <c r="P24" s="20" t="n">
        <v>0</v>
      </c>
      <c r="Q24" s="18" t="n">
        <v>0.7550661400000001</v>
      </c>
      <c r="R24" s="20" t="n">
        <v>0.4329054</v>
      </c>
    </row>
    <row r="25" spans="1:18">
      <c r="A25" s="15" t="s">
        <v>367</v>
      </c>
      <c r="B25" s="17" t="n">
        <v>2912</v>
      </c>
      <c r="C25" s="18">
        <f>(2574.0/B25*100)</f>
        <v/>
      </c>
      <c r="D25" s="19" t="n">
        <v>338</v>
      </c>
      <c r="E25" s="18" t="n">
        <v>52.41198776</v>
      </c>
      <c r="F25" s="20" t="n">
        <v>3.13220283</v>
      </c>
      <c r="G25" s="18" t="n">
        <v>46.10361392</v>
      </c>
      <c r="H25" s="20" t="n">
        <v>3.21251543</v>
      </c>
      <c r="I25" s="18" t="s">
        <v>349</v>
      </c>
      <c r="J25" s="20" t="s">
        <v>349</v>
      </c>
      <c r="K25" s="18" t="n">
        <v>0</v>
      </c>
      <c r="L25" s="20" t="n">
        <v>0</v>
      </c>
      <c r="M25" s="18" t="n">
        <v>0</v>
      </c>
      <c r="N25" s="20" t="n">
        <v>0</v>
      </c>
      <c r="O25" s="18" t="n">
        <v>0</v>
      </c>
      <c r="P25" s="20" t="n">
        <v>0</v>
      </c>
      <c r="Q25" s="18" t="n">
        <v>1.48439833</v>
      </c>
      <c r="R25" s="20" t="n">
        <v>0.77078157</v>
      </c>
    </row>
    <row r="26" spans="1:18">
      <c r="A26" s="15" t="s">
        <v>368</v>
      </c>
      <c r="B26" s="17" t="n">
        <v>2450</v>
      </c>
      <c r="C26" s="18">
        <f>(2131.0/B26*100)</f>
        <v/>
      </c>
      <c r="D26" s="19" t="n">
        <v>319</v>
      </c>
      <c r="E26" s="18" t="n">
        <v>47.17252362</v>
      </c>
      <c r="F26" s="20" t="n">
        <v>2.94711525</v>
      </c>
      <c r="G26" s="18" t="n">
        <v>52.32038212</v>
      </c>
      <c r="H26" s="20" t="n">
        <v>2.96859542</v>
      </c>
      <c r="I26" s="18" t="s">
        <v>349</v>
      </c>
      <c r="J26" s="20" t="s">
        <v>349</v>
      </c>
      <c r="K26" s="18" t="n">
        <v>0</v>
      </c>
      <c r="L26" s="20" t="n">
        <v>0</v>
      </c>
      <c r="M26" s="18" t="n">
        <v>0</v>
      </c>
      <c r="N26" s="20" t="n">
        <v>0</v>
      </c>
      <c r="O26" s="18" t="n">
        <v>0</v>
      </c>
      <c r="P26" s="20" t="n">
        <v>0</v>
      </c>
      <c r="Q26" s="18" t="n">
        <v>0.50709426</v>
      </c>
      <c r="R26" s="20" t="n">
        <v>0.36241122</v>
      </c>
    </row>
    <row r="27" spans="1:18">
      <c r="A27" s="15" t="s">
        <v>369</v>
      </c>
      <c r="B27" s="17" t="n">
        <v>2616</v>
      </c>
      <c r="C27" s="18">
        <f>(2303.0/B27*100)</f>
        <v/>
      </c>
      <c r="D27" s="19" t="n">
        <v>313</v>
      </c>
      <c r="E27" s="18" t="n">
        <v>55.33208265</v>
      </c>
      <c r="F27" s="20" t="n">
        <v>2.65852949</v>
      </c>
      <c r="G27" s="18" t="n">
        <v>43.72099646</v>
      </c>
      <c r="H27" s="20" t="n">
        <v>2.64077546</v>
      </c>
      <c r="I27" s="18" t="s">
        <v>349</v>
      </c>
      <c r="J27" s="20" t="s">
        <v>349</v>
      </c>
      <c r="K27" s="18" t="n">
        <v>0.31571129</v>
      </c>
      <c r="L27" s="20" t="n">
        <v>0.31259993</v>
      </c>
      <c r="M27" s="18" t="n">
        <v>0</v>
      </c>
      <c r="N27" s="20" t="n">
        <v>0</v>
      </c>
      <c r="O27" s="18" t="n">
        <v>0</v>
      </c>
      <c r="P27" s="20" t="n">
        <v>0</v>
      </c>
      <c r="Q27" s="18" t="n">
        <v>0.63120961</v>
      </c>
      <c r="R27" s="20" t="n">
        <v>0.43150177</v>
      </c>
    </row>
    <row r="28" spans="1:18">
      <c r="A28" s="15" t="s">
        <v>370</v>
      </c>
      <c r="B28" s="17" t="n">
        <v>3765</v>
      </c>
      <c r="C28" s="18">
        <f>(3279.0/B28*100)</f>
        <v/>
      </c>
      <c r="D28" s="19" t="n">
        <v>486</v>
      </c>
      <c r="E28" s="18" t="n">
        <v>67.84585285999999</v>
      </c>
      <c r="F28" s="20" t="n">
        <v>2.46280167</v>
      </c>
      <c r="G28" s="18" t="n">
        <v>29.93295156</v>
      </c>
      <c r="H28" s="20" t="n">
        <v>2.28287878</v>
      </c>
      <c r="I28" s="18" t="s">
        <v>349</v>
      </c>
      <c r="J28" s="20" t="s">
        <v>349</v>
      </c>
      <c r="K28" s="18" t="n">
        <v>0</v>
      </c>
      <c r="L28" s="20" t="n">
        <v>0</v>
      </c>
      <c r="M28" s="18" t="n">
        <v>0</v>
      </c>
      <c r="N28" s="20" t="n">
        <v>0</v>
      </c>
      <c r="O28" s="18" t="n">
        <v>0</v>
      </c>
      <c r="P28" s="20" t="n">
        <v>0</v>
      </c>
      <c r="Q28" s="18" t="n">
        <v>2.22119558</v>
      </c>
      <c r="R28" s="20" t="n">
        <v>0.84231926</v>
      </c>
    </row>
    <row r="29" spans="1:18">
      <c r="A29" s="15" t="s">
        <v>371</v>
      </c>
      <c r="B29" s="17" t="n">
        <v>2685</v>
      </c>
      <c r="C29" s="18">
        <f>(2377.0/B29*100)</f>
        <v/>
      </c>
      <c r="D29" s="19" t="n">
        <v>308</v>
      </c>
      <c r="E29" s="18" t="n">
        <v>48.11527008</v>
      </c>
      <c r="F29" s="20" t="n">
        <v>2.89215164</v>
      </c>
      <c r="G29" s="18" t="n">
        <v>50.99392265</v>
      </c>
      <c r="H29" s="20" t="n">
        <v>2.82413061</v>
      </c>
      <c r="I29" s="18" t="s">
        <v>349</v>
      </c>
      <c r="J29" s="20" t="s">
        <v>349</v>
      </c>
      <c r="K29" s="18" t="n">
        <v>0</v>
      </c>
      <c r="L29" s="20" t="n">
        <v>0</v>
      </c>
      <c r="M29" s="18" t="n">
        <v>0</v>
      </c>
      <c r="N29" s="20" t="n">
        <v>0</v>
      </c>
      <c r="O29" s="18" t="n">
        <v>0</v>
      </c>
      <c r="P29" s="20" t="n">
        <v>0</v>
      </c>
      <c r="Q29" s="18" t="n">
        <v>0.89080727</v>
      </c>
      <c r="R29" s="20" t="n">
        <v>0.54797342</v>
      </c>
    </row>
    <row r="30" spans="1:18">
      <c r="A30" s="15" t="s">
        <v>372</v>
      </c>
      <c r="B30" s="17" t="n">
        <v>2263</v>
      </c>
      <c r="C30" s="18">
        <f>(1970.0/B30*100)</f>
        <v/>
      </c>
      <c r="D30" s="19" t="n">
        <v>293</v>
      </c>
      <c r="E30" s="18" t="n">
        <v>53.17132615</v>
      </c>
      <c r="F30" s="20" t="n">
        <v>3.30057553</v>
      </c>
      <c r="G30" s="18" t="n">
        <v>46.16663508</v>
      </c>
      <c r="H30" s="20" t="n">
        <v>3.30541572</v>
      </c>
      <c r="I30" s="18" t="s">
        <v>349</v>
      </c>
      <c r="J30" s="20" t="s">
        <v>349</v>
      </c>
      <c r="K30" s="18" t="n">
        <v>0</v>
      </c>
      <c r="L30" s="20" t="n">
        <v>0</v>
      </c>
      <c r="M30" s="18" t="n">
        <v>0</v>
      </c>
      <c r="N30" s="20" t="n">
        <v>0</v>
      </c>
      <c r="O30" s="18" t="n">
        <v>0</v>
      </c>
      <c r="P30" s="20" t="n">
        <v>0</v>
      </c>
      <c r="Q30" s="18" t="n">
        <v>0.66203877</v>
      </c>
      <c r="R30" s="20" t="n">
        <v>0.44113918</v>
      </c>
    </row>
    <row r="31" spans="1:18">
      <c r="A31" s="15" t="s">
        <v>373</v>
      </c>
      <c r="B31" s="17" t="n">
        <v>2750</v>
      </c>
      <c r="C31" s="18">
        <f>(2419.0/B31*100)</f>
        <v/>
      </c>
      <c r="D31" s="19" t="n">
        <v>331</v>
      </c>
      <c r="E31" s="18" t="n">
        <v>49.32102288</v>
      </c>
      <c r="F31" s="20" t="n">
        <v>2.94411337</v>
      </c>
      <c r="G31" s="18" t="n">
        <v>46.94749351</v>
      </c>
      <c r="H31" s="20" t="n">
        <v>2.82464284</v>
      </c>
      <c r="I31" s="18" t="s">
        <v>349</v>
      </c>
      <c r="J31" s="20" t="s">
        <v>349</v>
      </c>
      <c r="K31" s="18" t="n">
        <v>0.26983484</v>
      </c>
      <c r="L31" s="20" t="n">
        <v>0.26652561</v>
      </c>
      <c r="M31" s="18" t="n">
        <v>0</v>
      </c>
      <c r="N31" s="20" t="n">
        <v>0</v>
      </c>
      <c r="O31" s="18" t="n">
        <v>0</v>
      </c>
      <c r="P31" s="20" t="n">
        <v>0</v>
      </c>
      <c r="Q31" s="18" t="n">
        <v>3.46164877</v>
      </c>
      <c r="R31" s="20" t="n">
        <v>0.90754531</v>
      </c>
    </row>
    <row r="32" spans="1:18">
      <c r="A32" s="15" t="s">
        <v>374</v>
      </c>
      <c r="B32" s="17" t="n">
        <v>2269</v>
      </c>
      <c r="C32" s="18">
        <f>(1903.0/B32*100)</f>
        <v/>
      </c>
      <c r="D32" s="19" t="n">
        <v>366</v>
      </c>
      <c r="E32" s="18" t="n">
        <v>50.62342326</v>
      </c>
      <c r="F32" s="20" t="n">
        <v>2.58638</v>
      </c>
      <c r="G32" s="18" t="n">
        <v>49.37657674</v>
      </c>
      <c r="H32" s="20" t="n">
        <v>2.58638</v>
      </c>
      <c r="I32" s="18" t="s">
        <v>349</v>
      </c>
      <c r="J32" s="20" t="s">
        <v>349</v>
      </c>
      <c r="K32" s="18" t="n">
        <v>0</v>
      </c>
      <c r="L32" s="20" t="n">
        <v>0</v>
      </c>
      <c r="M32" s="18" t="n">
        <v>0</v>
      </c>
      <c r="N32" s="20" t="n">
        <v>0</v>
      </c>
      <c r="O32" s="18" t="n">
        <v>0</v>
      </c>
      <c r="P32" s="20" t="n">
        <v>0</v>
      </c>
      <c r="Q32" s="18" t="n">
        <v>0</v>
      </c>
      <c r="R32" s="20" t="n">
        <v>0</v>
      </c>
    </row>
    <row r="33" spans="1:18">
      <c r="A33" s="15" t="s">
        <v>375</v>
      </c>
      <c r="B33" s="17" t="n">
        <v>3674</v>
      </c>
      <c r="C33" s="18">
        <f>(3221.0/B33*100)</f>
        <v/>
      </c>
      <c r="D33" s="19" t="n">
        <v>453</v>
      </c>
      <c r="E33" s="18" t="n">
        <v>50.14506986</v>
      </c>
      <c r="F33" s="20" t="n">
        <v>3.07699769</v>
      </c>
      <c r="G33" s="18" t="n">
        <v>47.66439256</v>
      </c>
      <c r="H33" s="20" t="n">
        <v>3.18259894</v>
      </c>
      <c r="I33" s="18" t="s">
        <v>349</v>
      </c>
      <c r="J33" s="20" t="s">
        <v>349</v>
      </c>
      <c r="K33" s="18" t="n">
        <v>1.10207351</v>
      </c>
      <c r="L33" s="20" t="n">
        <v>1.04244113</v>
      </c>
      <c r="M33" s="18" t="n">
        <v>0</v>
      </c>
      <c r="N33" s="20" t="n">
        <v>0</v>
      </c>
      <c r="O33" s="18" t="n">
        <v>0</v>
      </c>
      <c r="P33" s="20" t="n">
        <v>0</v>
      </c>
      <c r="Q33" s="18" t="n">
        <v>1.08846406</v>
      </c>
      <c r="R33" s="20" t="n">
        <v>0.66918571</v>
      </c>
    </row>
    <row r="34" spans="1:18">
      <c r="A34" s="15" t="s">
        <v>376</v>
      </c>
      <c r="B34" s="17" t="n">
        <v>3315</v>
      </c>
      <c r="C34" s="18">
        <f>(2903.0/B34*100)</f>
        <v/>
      </c>
      <c r="D34" s="19" t="n">
        <v>412</v>
      </c>
      <c r="E34" s="18" t="n">
        <v>57.78254113</v>
      </c>
      <c r="F34" s="20" t="n">
        <v>2.75854196</v>
      </c>
      <c r="G34" s="18" t="n">
        <v>41.13681715</v>
      </c>
      <c r="H34" s="20" t="n">
        <v>2.68533374</v>
      </c>
      <c r="I34" s="18" t="s">
        <v>349</v>
      </c>
      <c r="J34" s="20" t="s">
        <v>349</v>
      </c>
      <c r="K34" s="18" t="n">
        <v>0</v>
      </c>
      <c r="L34" s="20" t="n">
        <v>0</v>
      </c>
      <c r="M34" s="18" t="n">
        <v>0</v>
      </c>
      <c r="N34" s="20" t="n">
        <v>0</v>
      </c>
      <c r="O34" s="18" t="n">
        <v>0</v>
      </c>
      <c r="P34" s="20" t="n">
        <v>0</v>
      </c>
      <c r="Q34" s="18" t="n">
        <v>1.08064172</v>
      </c>
      <c r="R34" s="20" t="n">
        <v>0.57065792</v>
      </c>
    </row>
    <row r="35" spans="1:18">
      <c r="A35" s="15" t="s">
        <v>377</v>
      </c>
      <c r="B35" s="17" t="n">
        <v>3505</v>
      </c>
      <c r="C35" s="18">
        <f>(3096.0/B35*100)</f>
        <v/>
      </c>
      <c r="D35" s="19" t="n">
        <v>409</v>
      </c>
      <c r="E35" s="18" t="n">
        <v>49.08729282</v>
      </c>
      <c r="F35" s="20" t="n">
        <v>3.23824718</v>
      </c>
      <c r="G35" s="18" t="n">
        <v>50.54716501</v>
      </c>
      <c r="H35" s="20" t="n">
        <v>3.25139622</v>
      </c>
      <c r="I35" s="18" t="s">
        <v>349</v>
      </c>
      <c r="J35" s="20" t="s">
        <v>349</v>
      </c>
      <c r="K35" s="18" t="n">
        <v>0</v>
      </c>
      <c r="L35" s="20" t="n">
        <v>0</v>
      </c>
      <c r="M35" s="18" t="n">
        <v>0</v>
      </c>
      <c r="N35" s="20" t="n">
        <v>0</v>
      </c>
      <c r="O35" s="18" t="n">
        <v>0</v>
      </c>
      <c r="P35" s="20" t="n">
        <v>0</v>
      </c>
      <c r="Q35" s="18" t="n">
        <v>0.36554217</v>
      </c>
      <c r="R35" s="20" t="n">
        <v>0.25992582</v>
      </c>
    </row>
    <row r="36" spans="1:18">
      <c r="A36" s="15" t="s">
        <v>378</v>
      </c>
      <c r="B36" s="17" t="n">
        <v>3332</v>
      </c>
      <c r="C36" s="18">
        <f>(2929.0/B36*100)</f>
        <v/>
      </c>
      <c r="D36" s="19" t="n">
        <v>403</v>
      </c>
      <c r="E36" s="18" t="n">
        <v>51.12112089</v>
      </c>
      <c r="F36" s="20" t="n">
        <v>2.40511231</v>
      </c>
      <c r="G36" s="18" t="n">
        <v>47.69745334</v>
      </c>
      <c r="H36" s="20" t="n">
        <v>2.3406974</v>
      </c>
      <c r="I36" s="18" t="s">
        <v>349</v>
      </c>
      <c r="J36" s="20" t="s">
        <v>349</v>
      </c>
      <c r="K36" s="18" t="n">
        <v>0.25829494</v>
      </c>
      <c r="L36" s="20" t="n">
        <v>0.26416973</v>
      </c>
      <c r="M36" s="18" t="n">
        <v>0</v>
      </c>
      <c r="N36" s="20" t="n">
        <v>0</v>
      </c>
      <c r="O36" s="18" t="n">
        <v>0</v>
      </c>
      <c r="P36" s="20" t="n">
        <v>0</v>
      </c>
      <c r="Q36" s="18" t="n">
        <v>0.92313083</v>
      </c>
      <c r="R36" s="20" t="n">
        <v>0.48455755</v>
      </c>
    </row>
    <row r="37" spans="1:18">
      <c r="A37" s="15" t="s">
        <v>379</v>
      </c>
      <c r="B37" s="17" t="n">
        <v>2727</v>
      </c>
      <c r="C37" s="18">
        <f>(2389.0/B37*100)</f>
        <v/>
      </c>
      <c r="D37" s="19" t="n">
        <v>338</v>
      </c>
      <c r="E37" s="18" t="n">
        <v>55.31229664</v>
      </c>
      <c r="F37" s="20" t="n">
        <v>3.0023067</v>
      </c>
      <c r="G37" s="18" t="n">
        <v>41.60878503</v>
      </c>
      <c r="H37" s="20" t="n">
        <v>3.03707672</v>
      </c>
      <c r="I37" s="18" t="s">
        <v>349</v>
      </c>
      <c r="J37" s="20" t="s">
        <v>349</v>
      </c>
      <c r="K37" s="18" t="n">
        <v>0.29633212</v>
      </c>
      <c r="L37" s="20" t="n">
        <v>0.29475945</v>
      </c>
      <c r="M37" s="18" t="n">
        <v>0</v>
      </c>
      <c r="N37" s="20" t="n">
        <v>0</v>
      </c>
      <c r="O37" s="18" t="n">
        <v>0</v>
      </c>
      <c r="P37" s="20" t="n">
        <v>0</v>
      </c>
      <c r="Q37" s="18" t="n">
        <v>2.78258622</v>
      </c>
      <c r="R37" s="20" t="n">
        <v>0.9686941</v>
      </c>
    </row>
    <row r="38" spans="1:18">
      <c r="A38" s="15" t="s">
        <v>380</v>
      </c>
      <c r="B38" s="17" t="n">
        <v>3053</v>
      </c>
      <c r="C38" s="18">
        <f>(2548.0/B38*100)</f>
        <v/>
      </c>
      <c r="D38" s="19" t="n">
        <v>505</v>
      </c>
      <c r="E38" s="18" t="n">
        <v>47.31682497</v>
      </c>
      <c r="F38" s="20" t="n">
        <v>2.06567428</v>
      </c>
      <c r="G38" s="18" t="n">
        <v>51.7250843</v>
      </c>
      <c r="H38" s="20" t="n">
        <v>2.03033928</v>
      </c>
      <c r="I38" s="18" t="s">
        <v>349</v>
      </c>
      <c r="J38" s="20" t="s">
        <v>349</v>
      </c>
      <c r="K38" s="18" t="n">
        <v>0.19763714</v>
      </c>
      <c r="L38" s="20" t="n">
        <v>0.20345197</v>
      </c>
      <c r="M38" s="18" t="n">
        <v>0</v>
      </c>
      <c r="N38" s="20" t="n">
        <v>0</v>
      </c>
      <c r="O38" s="18" t="n">
        <v>0</v>
      </c>
      <c r="P38" s="20" t="n">
        <v>0</v>
      </c>
      <c r="Q38" s="18" t="n">
        <v>0.76045359</v>
      </c>
      <c r="R38" s="20" t="n">
        <v>0.38250045</v>
      </c>
    </row>
    <row r="39" spans="1:18">
      <c r="A39" s="15" t="s">
        <v>381</v>
      </c>
      <c r="B39" s="17" t="n">
        <v>2957</v>
      </c>
      <c r="C39" s="18">
        <f>(2598.0/B39*100)</f>
        <v/>
      </c>
      <c r="D39" s="19" t="n">
        <v>359</v>
      </c>
      <c r="E39" s="18" t="n">
        <v>60.96228286</v>
      </c>
      <c r="F39" s="20" t="n">
        <v>2.77397806</v>
      </c>
      <c r="G39" s="18" t="n">
        <v>38.11353638</v>
      </c>
      <c r="H39" s="20" t="n">
        <v>2.7681492</v>
      </c>
      <c r="I39" s="18" t="s">
        <v>349</v>
      </c>
      <c r="J39" s="20" t="s">
        <v>349</v>
      </c>
      <c r="K39" s="18" t="n">
        <v>0.35458728</v>
      </c>
      <c r="L39" s="20" t="n">
        <v>0.25544255</v>
      </c>
      <c r="M39" s="18" t="n">
        <v>0</v>
      </c>
      <c r="N39" s="20" t="n">
        <v>0</v>
      </c>
      <c r="O39" s="18" t="n">
        <v>0</v>
      </c>
      <c r="P39" s="20" t="n">
        <v>0</v>
      </c>
      <c r="Q39" s="18" t="n">
        <v>0.56959348</v>
      </c>
      <c r="R39" s="20" t="n">
        <v>0.48875608</v>
      </c>
    </row>
    <row r="40" spans="1:18">
      <c r="A40" s="15" t="s">
        <v>382</v>
      </c>
      <c r="B40" s="17" t="n">
        <v>7235</v>
      </c>
      <c r="C40" s="18">
        <f>(6329.0/B40*100)</f>
        <v/>
      </c>
      <c r="D40" s="19" t="n">
        <v>906</v>
      </c>
      <c r="E40" s="18" t="n">
        <v>52.91397323</v>
      </c>
      <c r="F40" s="20" t="n">
        <v>2.5448415</v>
      </c>
      <c r="G40" s="18" t="n">
        <v>44.34053311</v>
      </c>
      <c r="H40" s="20" t="n">
        <v>2.33804244</v>
      </c>
      <c r="I40" s="18" t="s">
        <v>349</v>
      </c>
      <c r="J40" s="20" t="s">
        <v>349</v>
      </c>
      <c r="K40" s="18" t="n">
        <v>0.28033166</v>
      </c>
      <c r="L40" s="20" t="n">
        <v>0.19766421</v>
      </c>
      <c r="M40" s="18" t="n">
        <v>0</v>
      </c>
      <c r="N40" s="20" t="n">
        <v>0</v>
      </c>
      <c r="O40" s="18" t="n">
        <v>0</v>
      </c>
      <c r="P40" s="20" t="n">
        <v>0</v>
      </c>
      <c r="Q40" s="18" t="n">
        <v>2.465162</v>
      </c>
      <c r="R40" s="20" t="n">
        <v>0.85702805</v>
      </c>
    </row>
    <row r="41" spans="1:18">
      <c r="A41" s="15" t="s">
        <v>383</v>
      </c>
      <c r="B41" s="17" t="n">
        <v>2858</v>
      </c>
      <c r="C41" s="18">
        <f>(2477.0/B41*100)</f>
        <v/>
      </c>
      <c r="D41" s="19" t="n">
        <v>381</v>
      </c>
      <c r="E41" s="18" t="n">
        <v>65.83174162</v>
      </c>
      <c r="F41" s="20" t="n">
        <v>2.38329196</v>
      </c>
      <c r="G41" s="18" t="n">
        <v>33.81566232</v>
      </c>
      <c r="H41" s="20" t="n">
        <v>2.37831509</v>
      </c>
      <c r="I41" s="18" t="s">
        <v>349</v>
      </c>
      <c r="J41" s="20" t="s">
        <v>349</v>
      </c>
      <c r="K41" s="18" t="n">
        <v>0.20024532</v>
      </c>
      <c r="L41" s="20" t="n">
        <v>0.2084772</v>
      </c>
      <c r="M41" s="18" t="n">
        <v>0</v>
      </c>
      <c r="N41" s="20" t="n">
        <v>0</v>
      </c>
      <c r="O41" s="18" t="n">
        <v>0</v>
      </c>
      <c r="P41" s="20" t="n">
        <v>0</v>
      </c>
      <c r="Q41" s="18" t="n">
        <v>0.15235074</v>
      </c>
      <c r="R41" s="20" t="n">
        <v>0.1419708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(9750.0/B46*100)</f>
        <v/>
      </c>
      <c r="D46" s="19" t="n">
        <v>1318</v>
      </c>
      <c r="E46" s="18" t="n">
        <v>71.86014878</v>
      </c>
      <c r="F46" s="20" t="n">
        <v>1.63913579</v>
      </c>
      <c r="G46" s="18" t="n">
        <v>22.49986532</v>
      </c>
      <c r="H46" s="20" t="n">
        <v>1.75342159</v>
      </c>
      <c r="I46" s="18" t="s">
        <v>349</v>
      </c>
      <c r="J46" s="20" t="s">
        <v>349</v>
      </c>
      <c r="K46" s="18" t="n">
        <v>0.55089596</v>
      </c>
      <c r="L46" s="20" t="n">
        <v>0.36345405</v>
      </c>
      <c r="M46" s="18" t="n">
        <v>0</v>
      </c>
      <c r="N46" s="20" t="n">
        <v>0</v>
      </c>
      <c r="O46" s="18" t="n">
        <v>0</v>
      </c>
      <c r="P46" s="20" t="n">
        <v>0</v>
      </c>
      <c r="Q46" s="18" t="n">
        <v>5.08908995</v>
      </c>
      <c r="R46" s="20" t="n">
        <v>0.80122575</v>
      </c>
    </row>
    <row r="47" spans="1:18">
      <c r="A47" s="15" t="s">
        <v>389</v>
      </c>
      <c r="B47" s="17" t="n">
        <v>3105</v>
      </c>
      <c r="C47" s="18">
        <f>(2707.0/B47*100)</f>
        <v/>
      </c>
      <c r="D47" s="19" t="n">
        <v>398</v>
      </c>
      <c r="E47" s="18" t="n">
        <v>67.10735018</v>
      </c>
      <c r="F47" s="20" t="n">
        <v>2.39497434</v>
      </c>
      <c r="G47" s="18" t="n">
        <v>31.1852942</v>
      </c>
      <c r="H47" s="20" t="n">
        <v>2.40479416</v>
      </c>
      <c r="I47" s="18" t="s">
        <v>349</v>
      </c>
      <c r="J47" s="20" t="s">
        <v>349</v>
      </c>
      <c r="K47" s="18" t="n">
        <v>0</v>
      </c>
      <c r="L47" s="20" t="n">
        <v>0</v>
      </c>
      <c r="M47" s="18" t="n">
        <v>0</v>
      </c>
      <c r="N47" s="20" t="n">
        <v>0</v>
      </c>
      <c r="O47" s="18" t="n">
        <v>0</v>
      </c>
      <c r="P47" s="20" t="n">
        <v>0</v>
      </c>
      <c r="Q47" s="18" t="n">
        <v>1.70735563</v>
      </c>
      <c r="R47" s="20" t="n">
        <v>0.61293298</v>
      </c>
    </row>
    <row r="48" spans="1:18">
      <c r="A48" s="15" t="s">
        <v>390</v>
      </c>
      <c r="B48" s="17" t="n">
        <v>5159</v>
      </c>
      <c r="C48" s="18">
        <f>(4538.0/B48*100)</f>
        <v/>
      </c>
      <c r="D48" s="19" t="n">
        <v>621</v>
      </c>
      <c r="E48" s="18" t="n">
        <v>42.37499332</v>
      </c>
      <c r="F48" s="20" t="n">
        <v>2.69009331</v>
      </c>
      <c r="G48" s="18" t="n">
        <v>55.33678514</v>
      </c>
      <c r="H48" s="20" t="n">
        <v>2.5411191</v>
      </c>
      <c r="I48" s="18" t="s">
        <v>349</v>
      </c>
      <c r="J48" s="20" t="s">
        <v>349</v>
      </c>
      <c r="K48" s="18" t="n">
        <v>0.79246024</v>
      </c>
      <c r="L48" s="20" t="n">
        <v>0.47442023</v>
      </c>
      <c r="M48" s="18" t="n">
        <v>0</v>
      </c>
      <c r="N48" s="20" t="n">
        <v>0</v>
      </c>
      <c r="O48" s="18" t="n">
        <v>0</v>
      </c>
      <c r="P48" s="20" t="n">
        <v>0</v>
      </c>
      <c r="Q48" s="18" t="n">
        <v>1.49576129</v>
      </c>
      <c r="R48" s="20" t="n">
        <v>0.63083573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(4948.0/B50*100)</f>
        <v/>
      </c>
      <c r="D50" s="19" t="n">
        <v>689</v>
      </c>
      <c r="E50" s="18" t="n">
        <v>64.57274993</v>
      </c>
      <c r="F50" s="20" t="n">
        <v>2.68701039</v>
      </c>
      <c r="G50" s="18" t="n">
        <v>33.89645737</v>
      </c>
      <c r="H50" s="20" t="n">
        <v>2.66430009</v>
      </c>
      <c r="I50" s="18" t="s">
        <v>349</v>
      </c>
      <c r="J50" s="20" t="s">
        <v>349</v>
      </c>
      <c r="K50" s="18" t="n">
        <v>0.48578211</v>
      </c>
      <c r="L50" s="20" t="n">
        <v>0.30791559</v>
      </c>
      <c r="M50" s="18" t="n">
        <v>0</v>
      </c>
      <c r="N50" s="20" t="n">
        <v>0</v>
      </c>
      <c r="O50" s="18" t="n">
        <v>0</v>
      </c>
      <c r="P50" s="20" t="n">
        <v>0</v>
      </c>
      <c r="Q50" s="18" t="n">
        <v>1.0450106</v>
      </c>
      <c r="R50" s="20" t="n">
        <v>0.64532006</v>
      </c>
    </row>
    <row r="51" spans="1:18">
      <c r="A51" s="15" t="s">
        <v>393</v>
      </c>
      <c r="B51" s="17" t="n">
        <v>3372</v>
      </c>
      <c r="C51" s="18">
        <f>(2995.0/B51*100)</f>
        <v/>
      </c>
      <c r="D51" s="19" t="n">
        <v>377</v>
      </c>
      <c r="E51" s="18" t="n">
        <v>62.34631202</v>
      </c>
      <c r="F51" s="20" t="n">
        <v>3.27090255</v>
      </c>
      <c r="G51" s="18" t="n">
        <v>36.06730783</v>
      </c>
      <c r="H51" s="20" t="n">
        <v>3.23116162</v>
      </c>
      <c r="I51" s="18" t="s">
        <v>349</v>
      </c>
      <c r="J51" s="20" t="s">
        <v>349</v>
      </c>
      <c r="K51" s="18" t="n">
        <v>0.61982691</v>
      </c>
      <c r="L51" s="20" t="n">
        <v>0.44547708</v>
      </c>
      <c r="M51" s="18" t="n">
        <v>0</v>
      </c>
      <c r="N51" s="20" t="n">
        <v>0</v>
      </c>
      <c r="O51" s="18" t="n">
        <v>0</v>
      </c>
      <c r="P51" s="20" t="n">
        <v>0</v>
      </c>
      <c r="Q51" s="18" t="n">
        <v>0.96655325</v>
      </c>
      <c r="R51" s="20" t="n">
        <v>0.50527268</v>
      </c>
    </row>
    <row r="52" spans="1:18">
      <c r="A52" s="15" t="s">
        <v>394</v>
      </c>
      <c r="B52" s="17" t="n">
        <v>2796</v>
      </c>
      <c r="C52" s="18">
        <f>(2431.0/B52*100)</f>
        <v/>
      </c>
      <c r="D52" s="19" t="n">
        <v>365</v>
      </c>
      <c r="E52" s="18" t="n">
        <v>59.14587524</v>
      </c>
      <c r="F52" s="20" t="n">
        <v>2.72089715</v>
      </c>
      <c r="G52" s="18" t="n">
        <v>39.99551227</v>
      </c>
      <c r="H52" s="20" t="n">
        <v>2.73960429</v>
      </c>
      <c r="I52" s="18" t="s">
        <v>349</v>
      </c>
      <c r="J52" s="20" t="s">
        <v>349</v>
      </c>
      <c r="K52" s="18" t="n">
        <v>0.2076955</v>
      </c>
      <c r="L52" s="20" t="n">
        <v>0.20823056</v>
      </c>
      <c r="M52" s="18" t="n">
        <v>0</v>
      </c>
      <c r="N52" s="20" t="n">
        <v>0</v>
      </c>
      <c r="O52" s="18" t="n">
        <v>0</v>
      </c>
      <c r="P52" s="20" t="n">
        <v>0</v>
      </c>
      <c r="Q52" s="18" t="n">
        <v>0.65091698</v>
      </c>
      <c r="R52" s="20" t="n">
        <v>0.48965608</v>
      </c>
    </row>
    <row r="53" spans="1:18">
      <c r="A53" s="15" t="s">
        <v>395</v>
      </c>
      <c r="B53" s="17" t="n">
        <v>2811</v>
      </c>
      <c r="C53" s="18">
        <f>(2455.0/B53*100)</f>
        <v/>
      </c>
      <c r="D53" s="19" t="n">
        <v>356</v>
      </c>
      <c r="E53" s="18" t="n">
        <v>60.61041223</v>
      </c>
      <c r="F53" s="20" t="n">
        <v>2.40833952</v>
      </c>
      <c r="G53" s="18" t="n">
        <v>37.58981396</v>
      </c>
      <c r="H53" s="20" t="n">
        <v>2.36423006</v>
      </c>
      <c r="I53" s="18" t="s">
        <v>349</v>
      </c>
      <c r="J53" s="20" t="s">
        <v>349</v>
      </c>
      <c r="K53" s="18" t="n">
        <v>0</v>
      </c>
      <c r="L53" s="20" t="n">
        <v>0</v>
      </c>
      <c r="M53" s="18" t="n">
        <v>0</v>
      </c>
      <c r="N53" s="20" t="n">
        <v>0</v>
      </c>
      <c r="O53" s="18" t="n">
        <v>0</v>
      </c>
      <c r="P53" s="20" t="n">
        <v>0</v>
      </c>
      <c r="Q53" s="18" t="n">
        <v>1.7997738</v>
      </c>
      <c r="R53" s="20" t="n">
        <v>0.6508918</v>
      </c>
    </row>
    <row r="54" spans="1:18">
      <c r="A54" s="15" t="s">
        <v>396</v>
      </c>
      <c r="B54" s="17" t="n">
        <v>2266</v>
      </c>
      <c r="C54" s="18">
        <f>(1904.0/B54*100)</f>
        <v/>
      </c>
      <c r="D54" s="19" t="n">
        <v>362</v>
      </c>
      <c r="E54" s="18" t="n">
        <v>76.25966169</v>
      </c>
      <c r="F54" s="20" t="n">
        <v>2.42333348</v>
      </c>
      <c r="G54" s="18" t="n">
        <v>12.72688343</v>
      </c>
      <c r="H54" s="20" t="n">
        <v>1.840762</v>
      </c>
      <c r="I54" s="18" t="s">
        <v>349</v>
      </c>
      <c r="J54" s="20" t="s">
        <v>349</v>
      </c>
      <c r="K54" s="18" t="n">
        <v>5.04437337</v>
      </c>
      <c r="L54" s="20" t="n">
        <v>1.29130276</v>
      </c>
      <c r="M54" s="18" t="n">
        <v>0</v>
      </c>
      <c r="N54" s="20" t="n">
        <v>0</v>
      </c>
      <c r="O54" s="18" t="n">
        <v>0</v>
      </c>
      <c r="P54" s="20" t="n">
        <v>0</v>
      </c>
      <c r="Q54" s="18" t="n">
        <v>5.96908151</v>
      </c>
      <c r="R54" s="20" t="n">
        <v>1.28615115</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(2355.0/B56*100)</f>
        <v/>
      </c>
      <c r="D56" s="19" t="n">
        <v>329</v>
      </c>
      <c r="E56" s="18" t="n">
        <v>45.39076519</v>
      </c>
      <c r="F56" s="20" t="n">
        <v>2.57538189</v>
      </c>
      <c r="G56" s="18" t="n">
        <v>53.26728275</v>
      </c>
      <c r="H56" s="20" t="n">
        <v>2.77994784</v>
      </c>
      <c r="I56" s="18" t="s">
        <v>349</v>
      </c>
      <c r="J56" s="20" t="s">
        <v>349</v>
      </c>
      <c r="K56" s="18" t="n">
        <v>0.2473352</v>
      </c>
      <c r="L56" s="20" t="n">
        <v>0.25223559</v>
      </c>
      <c r="M56" s="18" t="n">
        <v>0</v>
      </c>
      <c r="N56" s="20" t="n">
        <v>0</v>
      </c>
      <c r="O56" s="18" t="n">
        <v>0</v>
      </c>
      <c r="P56" s="20" t="n">
        <v>0</v>
      </c>
      <c r="Q56" s="18" t="n">
        <v>1.09461686</v>
      </c>
      <c r="R56" s="20" t="n">
        <v>1.21093418</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(2924.0/B61*100)</f>
        <v/>
      </c>
      <c r="D61" s="19" t="n">
        <v>400</v>
      </c>
      <c r="E61" s="18" t="n">
        <v>52.64885112</v>
      </c>
      <c r="F61" s="20" t="n">
        <v>2.74238709</v>
      </c>
      <c r="G61" s="18" t="n">
        <v>46.2836396</v>
      </c>
      <c r="H61" s="20" t="n">
        <v>2.78803198</v>
      </c>
      <c r="I61" s="18" t="s">
        <v>349</v>
      </c>
      <c r="J61" s="20" t="s">
        <v>349</v>
      </c>
      <c r="K61" s="18" t="n">
        <v>0</v>
      </c>
      <c r="L61" s="20" t="n">
        <v>0</v>
      </c>
      <c r="M61" s="18" t="n">
        <v>0</v>
      </c>
      <c r="N61" s="20" t="n">
        <v>0</v>
      </c>
      <c r="O61" s="18" t="n">
        <v>0</v>
      </c>
      <c r="P61" s="20" t="n">
        <v>0</v>
      </c>
      <c r="Q61" s="18" t="n">
        <v>1.06750928</v>
      </c>
      <c r="R61" s="20" t="n">
        <v>0.60276495</v>
      </c>
    </row>
    <row r="62" spans="1:18">
      <c r="A62" s="15" t="s">
        <v>404</v>
      </c>
      <c r="B62" s="17" t="n">
        <v>2246</v>
      </c>
      <c r="C62" s="18">
        <f>(1963.0/B62*100)</f>
        <v/>
      </c>
      <c r="D62" s="19" t="n">
        <v>283</v>
      </c>
      <c r="E62" s="18" t="n">
        <v>48.37740875</v>
      </c>
      <c r="F62" s="20" t="n">
        <v>2.77899042</v>
      </c>
      <c r="G62" s="18" t="n">
        <v>51.62259125</v>
      </c>
      <c r="H62" s="20" t="n">
        <v>2.77899042</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(2537.0/B66*100)</f>
        <v/>
      </c>
      <c r="D66" s="19" t="n">
        <v>357</v>
      </c>
      <c r="E66" s="18" t="n">
        <v>67.24578803999999</v>
      </c>
      <c r="F66" s="20" t="n">
        <v>2.74267554</v>
      </c>
      <c r="G66" s="18" t="n">
        <v>27.35100292</v>
      </c>
      <c r="H66" s="20" t="n">
        <v>2.51555735</v>
      </c>
      <c r="I66" s="18" t="s">
        <v>349</v>
      </c>
      <c r="J66" s="20" t="s">
        <v>349</v>
      </c>
      <c r="K66" s="18" t="n">
        <v>0</v>
      </c>
      <c r="L66" s="20" t="n">
        <v>0</v>
      </c>
      <c r="M66" s="18" t="n">
        <v>0</v>
      </c>
      <c r="N66" s="20" t="n">
        <v>0</v>
      </c>
      <c r="O66" s="18" t="n">
        <v>0</v>
      </c>
      <c r="P66" s="20" t="n">
        <v>0</v>
      </c>
      <c r="Q66" s="18" t="n">
        <v>5.40320904</v>
      </c>
      <c r="R66" s="20" t="n">
        <v>1.33807451</v>
      </c>
    </row>
    <row r="67" spans="1:18">
      <c r="A67" s="15" t="s">
        <v>409</v>
      </c>
      <c r="B67" s="17" t="n">
        <v>3511</v>
      </c>
      <c r="C67" s="18">
        <f>(3075.0/B67*100)</f>
        <v/>
      </c>
      <c r="D67" s="19" t="n">
        <v>436</v>
      </c>
      <c r="E67" s="18" t="n">
        <v>64.18163785</v>
      </c>
      <c r="F67" s="20" t="n">
        <v>2.49348785</v>
      </c>
      <c r="G67" s="18" t="n">
        <v>33.15074674</v>
      </c>
      <c r="H67" s="20" t="n">
        <v>2.36062843</v>
      </c>
      <c r="I67" s="18" t="s">
        <v>349</v>
      </c>
      <c r="J67" s="20" t="s">
        <v>349</v>
      </c>
      <c r="K67" s="18" t="n">
        <v>0</v>
      </c>
      <c r="L67" s="20" t="n">
        <v>0</v>
      </c>
      <c r="M67" s="18" t="n">
        <v>0</v>
      </c>
      <c r="N67" s="20" t="n">
        <v>0</v>
      </c>
      <c r="O67" s="18" t="n">
        <v>0</v>
      </c>
      <c r="P67" s="20" t="n">
        <v>0</v>
      </c>
      <c r="Q67" s="18" t="n">
        <v>2.66761541</v>
      </c>
      <c r="R67" s="20" t="n">
        <v>0.87449438</v>
      </c>
    </row>
    <row r="68" spans="1:18">
      <c r="A68" s="15" t="s">
        <v>410</v>
      </c>
      <c r="B68" s="17" t="n">
        <v>6049</v>
      </c>
      <c r="C68" s="18">
        <f>(5055.0/B68*100)</f>
        <v/>
      </c>
      <c r="D68" s="19" t="n">
        <v>994</v>
      </c>
      <c r="E68" s="18" t="n">
        <v>69.70211274</v>
      </c>
      <c r="F68" s="20" t="n">
        <v>1.55675032</v>
      </c>
      <c r="G68" s="18" t="n">
        <v>26.04299363</v>
      </c>
      <c r="H68" s="20" t="n">
        <v>1.51005107</v>
      </c>
      <c r="I68" s="18" t="s">
        <v>349</v>
      </c>
      <c r="J68" s="20" t="s">
        <v>349</v>
      </c>
      <c r="K68" s="18" t="n">
        <v>1.77923027</v>
      </c>
      <c r="L68" s="20" t="n">
        <v>0.38262066</v>
      </c>
      <c r="M68" s="18" t="n">
        <v>0</v>
      </c>
      <c r="N68" s="20" t="n">
        <v>0</v>
      </c>
      <c r="O68" s="18" t="n">
        <v>0</v>
      </c>
      <c r="P68" s="20" t="n">
        <v>0</v>
      </c>
      <c r="Q68" s="18" t="n">
        <v>2.47566336</v>
      </c>
      <c r="R68" s="20" t="n">
        <v>0.44038248</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(2543.0/B70*100)</f>
        <v/>
      </c>
      <c r="D70" s="19" t="n">
        <v>386</v>
      </c>
      <c r="E70" s="18" t="n">
        <v>56.69882451</v>
      </c>
      <c r="F70" s="20" t="n">
        <v>3.14189726</v>
      </c>
      <c r="G70" s="18" t="n">
        <v>41.98485459</v>
      </c>
      <c r="H70" s="20" t="n">
        <v>3.11209322</v>
      </c>
      <c r="I70" s="18" t="s">
        <v>349</v>
      </c>
      <c r="J70" s="20" t="s">
        <v>349</v>
      </c>
      <c r="K70" s="18" t="n">
        <v>0</v>
      </c>
      <c r="L70" s="20" t="n">
        <v>0</v>
      </c>
      <c r="M70" s="18" t="n">
        <v>0</v>
      </c>
      <c r="N70" s="20" t="n">
        <v>0</v>
      </c>
      <c r="O70" s="18" t="n">
        <v>0</v>
      </c>
      <c r="P70" s="20" t="n">
        <v>0</v>
      </c>
      <c r="Q70" s="18" t="n">
        <v>1.3163209</v>
      </c>
      <c r="R70" s="20" t="n">
        <v>0.36628703</v>
      </c>
    </row>
    <row r="71" spans="1:18">
      <c r="A71" s="15" t="s">
        <v>413</v>
      </c>
      <c r="B71" s="17" t="n">
        <v>3142</v>
      </c>
      <c r="C71" s="18">
        <f>(2744.0/B71*100)</f>
        <v/>
      </c>
      <c r="D71" s="19" t="n">
        <v>398</v>
      </c>
      <c r="E71" s="18" t="n">
        <v>50.35313204</v>
      </c>
      <c r="F71" s="20" t="n">
        <v>2.46341556</v>
      </c>
      <c r="G71" s="18" t="n">
        <v>49.1097427</v>
      </c>
      <c r="H71" s="20" t="n">
        <v>2.44932242</v>
      </c>
      <c r="I71" s="18" t="s">
        <v>349</v>
      </c>
      <c r="J71" s="20" t="s">
        <v>349</v>
      </c>
      <c r="K71" s="18" t="n">
        <v>0.29650894</v>
      </c>
      <c r="L71" s="20" t="n">
        <v>0.29606956</v>
      </c>
      <c r="M71" s="18" t="n">
        <v>0</v>
      </c>
      <c r="N71" s="20" t="n">
        <v>0</v>
      </c>
      <c r="O71" s="18" t="n">
        <v>0</v>
      </c>
      <c r="P71" s="20" t="n">
        <v>0</v>
      </c>
      <c r="Q71" s="18" t="n">
        <v>0.24061631</v>
      </c>
      <c r="R71" s="20" t="n">
        <v>0.23799413</v>
      </c>
    </row>
    <row r="72" spans="1:18">
      <c r="A72" s="15" t="s">
        <v>414</v>
      </c>
      <c r="B72" s="17" t="n">
        <v>3889</v>
      </c>
      <c r="C72" s="18">
        <f>(3400.0/B72*100)</f>
        <v/>
      </c>
      <c r="D72" s="19" t="n">
        <v>489</v>
      </c>
      <c r="E72" s="18" t="n">
        <v>40.90366022</v>
      </c>
      <c r="F72" s="20" t="n">
        <v>2.60213987</v>
      </c>
      <c r="G72" s="18" t="n">
        <v>58.80561972</v>
      </c>
      <c r="H72" s="20" t="n">
        <v>2.60945524</v>
      </c>
      <c r="I72" s="18" t="s">
        <v>349</v>
      </c>
      <c r="J72" s="20" t="s">
        <v>349</v>
      </c>
      <c r="K72" s="18" t="n">
        <v>0</v>
      </c>
      <c r="L72" s="20" t="n">
        <v>0</v>
      </c>
      <c r="M72" s="18" t="n">
        <v>0</v>
      </c>
      <c r="N72" s="20" t="n">
        <v>0</v>
      </c>
      <c r="O72" s="18" t="n">
        <v>0</v>
      </c>
      <c r="P72" s="20" t="n">
        <v>0</v>
      </c>
      <c r="Q72" s="18" t="n">
        <v>0.29072006</v>
      </c>
      <c r="R72" s="20" t="n">
        <v>0.2878359</v>
      </c>
    </row>
    <row r="73" spans="1:18">
      <c r="A73" s="15" t="s">
        <v>415</v>
      </c>
      <c r="B73" s="17" t="n">
        <v>3597</v>
      </c>
      <c r="C73" s="18">
        <f>(3163.0/B73*100)</f>
        <v/>
      </c>
      <c r="D73" s="19" t="n">
        <v>434</v>
      </c>
      <c r="E73" s="18" t="n">
        <v>56.30576962</v>
      </c>
      <c r="F73" s="20" t="n">
        <v>2.88391106</v>
      </c>
      <c r="G73" s="18" t="n">
        <v>41.96247989</v>
      </c>
      <c r="H73" s="20" t="n">
        <v>2.85732021</v>
      </c>
      <c r="I73" s="18" t="s">
        <v>349</v>
      </c>
      <c r="J73" s="20" t="s">
        <v>349</v>
      </c>
      <c r="K73" s="18" t="n">
        <v>0</v>
      </c>
      <c r="L73" s="20" t="n">
        <v>0</v>
      </c>
      <c r="M73" s="18" t="n">
        <v>0</v>
      </c>
      <c r="N73" s="20" t="n">
        <v>0</v>
      </c>
      <c r="O73" s="18" t="n">
        <v>0</v>
      </c>
      <c r="P73" s="20" t="n">
        <v>0</v>
      </c>
      <c r="Q73" s="18" t="n">
        <v>1.73175049</v>
      </c>
      <c r="R73" s="20" t="n">
        <v>0.80653805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(2135.0/B75*100)</f>
        <v/>
      </c>
      <c r="D75" s="19" t="n">
        <v>271</v>
      </c>
      <c r="E75" s="18" t="n">
        <v>56.82956663</v>
      </c>
      <c r="F75" s="20" t="n">
        <v>3.21492828</v>
      </c>
      <c r="G75" s="18" t="n">
        <v>39.96379509</v>
      </c>
      <c r="H75" s="20" t="n">
        <v>3.19224519</v>
      </c>
      <c r="I75" s="18" t="s">
        <v>349</v>
      </c>
      <c r="J75" s="20" t="s">
        <v>349</v>
      </c>
      <c r="K75" s="18" t="n">
        <v>0.87001556</v>
      </c>
      <c r="L75" s="20" t="n">
        <v>0.75853146</v>
      </c>
      <c r="M75" s="18" t="n">
        <v>0</v>
      </c>
      <c r="N75" s="20" t="n">
        <v>0</v>
      </c>
      <c r="O75" s="18" t="n">
        <v>0</v>
      </c>
      <c r="P75" s="20" t="n">
        <v>0</v>
      </c>
      <c r="Q75" s="18" t="n">
        <v>2.33662272</v>
      </c>
      <c r="R75" s="20" t="n">
        <v>1.04929601</v>
      </c>
    </row>
    <row r="76" spans="1:18">
      <c r="A76" s="15" t="s">
        <v>418</v>
      </c>
      <c r="B76" s="17" t="n">
        <v>7052</v>
      </c>
      <c r="C76" s="18">
        <f>(6195.0/B76*100)</f>
        <v/>
      </c>
      <c r="D76" s="19" t="n">
        <v>857</v>
      </c>
      <c r="E76" s="18" t="n">
        <v>67.49097838</v>
      </c>
      <c r="F76" s="20" t="n">
        <v>1.99538596</v>
      </c>
      <c r="G76" s="18" t="n">
        <v>30.56621226</v>
      </c>
      <c r="H76" s="20" t="n">
        <v>1.96984049</v>
      </c>
      <c r="I76" s="18" t="s">
        <v>349</v>
      </c>
      <c r="J76" s="20" t="s">
        <v>349</v>
      </c>
      <c r="K76" s="18" t="n">
        <v>0.65989899</v>
      </c>
      <c r="L76" s="20" t="n">
        <v>0.34509178</v>
      </c>
      <c r="M76" s="18" t="n">
        <v>0</v>
      </c>
      <c r="N76" s="20" t="n">
        <v>0</v>
      </c>
      <c r="O76" s="18" t="n">
        <v>0</v>
      </c>
      <c r="P76" s="20" t="n">
        <v>0</v>
      </c>
      <c r="Q76" s="18" t="n">
        <v>1.28291037</v>
      </c>
      <c r="R76" s="20" t="n">
        <v>0.38832851</v>
      </c>
    </row>
    <row r="77" spans="1:18">
      <c r="A77" s="15" t="s">
        <v>419</v>
      </c>
      <c r="B77" s="17" t="n">
        <v>2908</v>
      </c>
      <c r="C77" s="18">
        <f>(2555.0/B77*100)</f>
        <v/>
      </c>
      <c r="D77" s="19" t="n">
        <v>353</v>
      </c>
      <c r="E77" s="18" t="n">
        <v>64.69373302</v>
      </c>
      <c r="F77" s="20" t="n">
        <v>2.39812515</v>
      </c>
      <c r="G77" s="18" t="n">
        <v>32.20066377</v>
      </c>
      <c r="H77" s="20" t="n">
        <v>2.33292322</v>
      </c>
      <c r="I77" s="18" t="s">
        <v>349</v>
      </c>
      <c r="J77" s="20" t="s">
        <v>349</v>
      </c>
      <c r="K77" s="18" t="n">
        <v>0.24417905</v>
      </c>
      <c r="L77" s="20" t="n">
        <v>0.26062397</v>
      </c>
      <c r="M77" s="18" t="n">
        <v>0</v>
      </c>
      <c r="N77" s="20" t="n">
        <v>0</v>
      </c>
      <c r="O77" s="18" t="n">
        <v>0</v>
      </c>
      <c r="P77" s="20" t="n">
        <v>0</v>
      </c>
      <c r="Q77" s="18" t="n">
        <v>2.86142416</v>
      </c>
      <c r="R77" s="20" t="n">
        <v>1.11192622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(3641.0/B81*100)</f>
        <v/>
      </c>
      <c r="D81" s="19" t="n">
        <v>522</v>
      </c>
      <c r="E81" s="18" t="n">
        <v>51.58469713</v>
      </c>
      <c r="F81" s="20" t="n">
        <v>2.76978513</v>
      </c>
      <c r="G81" s="18" t="n">
        <v>48.14582667</v>
      </c>
      <c r="H81" s="20" t="n">
        <v>2.75688012</v>
      </c>
      <c r="I81" s="18" t="s">
        <v>349</v>
      </c>
      <c r="J81" s="20" t="s">
        <v>349</v>
      </c>
      <c r="K81" s="18" t="n">
        <v>0</v>
      </c>
      <c r="L81" s="20" t="n">
        <v>0</v>
      </c>
      <c r="M81" s="18" t="n">
        <v>0</v>
      </c>
      <c r="N81" s="20" t="n">
        <v>0</v>
      </c>
      <c r="O81" s="18" t="n">
        <v>0</v>
      </c>
      <c r="P81" s="20" t="n">
        <v>0</v>
      </c>
      <c r="Q81" s="18" t="n">
        <v>0.2694762</v>
      </c>
      <c r="R81" s="20" t="n">
        <v>0.26791384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(6436.0/B7*100)</f>
        <v/>
      </c>
      <c r="D7" s="19" t="n">
        <v>931</v>
      </c>
      <c r="E7" s="18" t="n">
        <v>48.10778986</v>
      </c>
      <c r="F7" s="20" t="n">
        <v>2.23045301</v>
      </c>
      <c r="G7" s="18" t="n">
        <v>50.54840958</v>
      </c>
      <c r="H7" s="20" t="n">
        <v>2.24021242</v>
      </c>
      <c r="I7" s="18" t="s">
        <v>349</v>
      </c>
      <c r="J7" s="20" t="s">
        <v>349</v>
      </c>
      <c r="K7" s="18" t="n">
        <v>0.42852831</v>
      </c>
      <c r="L7" s="20" t="n">
        <v>0.26493043</v>
      </c>
      <c r="M7" s="18" t="n">
        <v>0</v>
      </c>
      <c r="N7" s="20" t="n">
        <v>0</v>
      </c>
      <c r="O7" s="18" t="n">
        <v>0</v>
      </c>
      <c r="P7" s="20" t="n">
        <v>0</v>
      </c>
      <c r="Q7" s="18" t="n">
        <v>0.91527225</v>
      </c>
      <c r="R7" s="20" t="n">
        <v>0.35039069</v>
      </c>
    </row>
    <row r="8" spans="1:18">
      <c r="A8" s="15" t="s">
        <v>350</v>
      </c>
      <c r="B8" s="17" t="n">
        <v>3564</v>
      </c>
      <c r="C8" s="18">
        <f>(3125.0/B8*100)</f>
        <v/>
      </c>
      <c r="D8" s="19" t="n">
        <v>439</v>
      </c>
      <c r="E8" s="18" t="n">
        <v>59.62120375</v>
      </c>
      <c r="F8" s="20" t="n">
        <v>3.0240095</v>
      </c>
      <c r="G8" s="18" t="n">
        <v>38.72952304</v>
      </c>
      <c r="H8" s="20" t="n">
        <v>2.9343006</v>
      </c>
      <c r="I8" s="18" t="s">
        <v>349</v>
      </c>
      <c r="J8" s="20" t="s">
        <v>349</v>
      </c>
      <c r="K8" s="18" t="n">
        <v>0</v>
      </c>
      <c r="L8" s="20" t="n">
        <v>0</v>
      </c>
      <c r="M8" s="18" t="n">
        <v>0</v>
      </c>
      <c r="N8" s="20" t="n">
        <v>0</v>
      </c>
      <c r="O8" s="18" t="n">
        <v>0</v>
      </c>
      <c r="P8" s="20" t="n">
        <v>0</v>
      </c>
      <c r="Q8" s="18" t="n">
        <v>1.64927322</v>
      </c>
      <c r="R8" s="20" t="n">
        <v>1.19873217</v>
      </c>
    </row>
    <row r="9" spans="1:18">
      <c r="A9" s="15" t="s">
        <v>351</v>
      </c>
      <c r="B9" s="17" t="n">
        <v>4899</v>
      </c>
      <c r="C9" s="18">
        <f>(4331.0/B9*100)</f>
        <v/>
      </c>
      <c r="D9" s="19" t="n">
        <v>568</v>
      </c>
      <c r="E9" s="18" t="n">
        <v>56.71795976</v>
      </c>
      <c r="F9" s="20" t="n">
        <v>1.91268619</v>
      </c>
      <c r="G9" s="18" t="n">
        <v>42.26010065</v>
      </c>
      <c r="H9" s="20" t="n">
        <v>1.90917482</v>
      </c>
      <c r="I9" s="18" t="s">
        <v>349</v>
      </c>
      <c r="J9" s="20" t="s">
        <v>349</v>
      </c>
      <c r="K9" s="18" t="n">
        <v>0.24726162</v>
      </c>
      <c r="L9" s="20" t="n">
        <v>0.24721536</v>
      </c>
      <c r="M9" s="18" t="n">
        <v>0</v>
      </c>
      <c r="N9" s="20" t="n">
        <v>0</v>
      </c>
      <c r="O9" s="18" t="n">
        <v>0</v>
      </c>
      <c r="P9" s="20" t="n">
        <v>0</v>
      </c>
      <c r="Q9" s="18" t="n">
        <v>0.77467796</v>
      </c>
      <c r="R9" s="20" t="n">
        <v>0.3721993</v>
      </c>
    </row>
    <row r="10" spans="1:18">
      <c r="A10" s="15" t="s">
        <v>352</v>
      </c>
      <c r="B10" s="17" t="n">
        <v>10036</v>
      </c>
      <c r="C10" s="18">
        <f>(8820.0/B10*100)</f>
        <v/>
      </c>
      <c r="D10" s="19" t="n">
        <v>1216</v>
      </c>
      <c r="E10" s="18" t="n">
        <v>54.13288099</v>
      </c>
      <c r="F10" s="20" t="n">
        <v>2.19192892</v>
      </c>
      <c r="G10" s="18" t="n">
        <v>44.9021995</v>
      </c>
      <c r="H10" s="20" t="n">
        <v>2.20761013</v>
      </c>
      <c r="I10" s="18" t="s">
        <v>349</v>
      </c>
      <c r="J10" s="20" t="s">
        <v>349</v>
      </c>
      <c r="K10" s="18" t="n">
        <v>0.13813525</v>
      </c>
      <c r="L10" s="20" t="n">
        <v>0.05637752</v>
      </c>
      <c r="M10" s="18" t="n">
        <v>0</v>
      </c>
      <c r="N10" s="20" t="n">
        <v>0</v>
      </c>
      <c r="O10" s="18" t="n">
        <v>0</v>
      </c>
      <c r="P10" s="20" t="n">
        <v>0</v>
      </c>
      <c r="Q10" s="18" t="n">
        <v>0.82678425</v>
      </c>
      <c r="R10" s="20" t="n">
        <v>0.47489938</v>
      </c>
    </row>
    <row r="11" spans="1:18">
      <c r="A11" s="15" t="s">
        <v>353</v>
      </c>
      <c r="B11" s="17" t="n">
        <v>3553</v>
      </c>
      <c r="C11" s="18">
        <f>(3130.0/B11*100)</f>
        <v/>
      </c>
      <c r="D11" s="19" t="n">
        <v>423</v>
      </c>
      <c r="E11" s="18" t="n">
        <v>69.73043203</v>
      </c>
      <c r="F11" s="20" t="n">
        <v>2.34825606</v>
      </c>
      <c r="G11" s="18" t="n">
        <v>29.42534444</v>
      </c>
      <c r="H11" s="20" t="n">
        <v>2.33384707</v>
      </c>
      <c r="I11" s="18" t="s">
        <v>349</v>
      </c>
      <c r="J11" s="20" t="s">
        <v>349</v>
      </c>
      <c r="K11" s="18" t="n">
        <v>0.39448349</v>
      </c>
      <c r="L11" s="20" t="n">
        <v>0.32191496</v>
      </c>
      <c r="M11" s="18" t="n">
        <v>0</v>
      </c>
      <c r="N11" s="20" t="n">
        <v>0</v>
      </c>
      <c r="O11" s="18" t="n">
        <v>0</v>
      </c>
      <c r="P11" s="20" t="n">
        <v>0</v>
      </c>
      <c r="Q11" s="18" t="n">
        <v>0.44974004</v>
      </c>
      <c r="R11" s="20" t="n">
        <v>0.3172665</v>
      </c>
    </row>
    <row r="12" spans="1:18">
      <c r="A12" s="15" t="s">
        <v>354</v>
      </c>
      <c r="B12" s="17" t="n">
        <v>3472</v>
      </c>
      <c r="C12" s="18">
        <f>(3051.0/B12*100)</f>
        <v/>
      </c>
      <c r="D12" s="19" t="n">
        <v>421</v>
      </c>
      <c r="E12" s="18" t="n">
        <v>63.19819548</v>
      </c>
      <c r="F12" s="20" t="n">
        <v>2.75702136</v>
      </c>
      <c r="G12" s="18" t="n">
        <v>36.26143584</v>
      </c>
      <c r="H12" s="20" t="n">
        <v>2.86334139</v>
      </c>
      <c r="I12" s="18" t="s">
        <v>349</v>
      </c>
      <c r="J12" s="20" t="s">
        <v>349</v>
      </c>
      <c r="K12" s="18" t="n">
        <v>0</v>
      </c>
      <c r="L12" s="20" t="n">
        <v>0</v>
      </c>
      <c r="M12" s="18" t="n">
        <v>0</v>
      </c>
      <c r="N12" s="20" t="n">
        <v>0</v>
      </c>
      <c r="O12" s="18" t="n">
        <v>0</v>
      </c>
      <c r="P12" s="20" t="n">
        <v>0</v>
      </c>
      <c r="Q12" s="18" t="n">
        <v>0.54036868</v>
      </c>
      <c r="R12" s="20" t="n">
        <v>0.44631164</v>
      </c>
    </row>
    <row r="13" spans="1:18">
      <c r="A13" s="15" t="s">
        <v>355</v>
      </c>
      <c r="B13" s="17" t="n">
        <v>3559</v>
      </c>
      <c r="C13" s="18">
        <f>(3136.0/B13*100)</f>
        <v/>
      </c>
      <c r="D13" s="19" t="n">
        <v>423</v>
      </c>
      <c r="E13" s="18" t="n">
        <v>53.2136577</v>
      </c>
      <c r="F13" s="20" t="n">
        <v>2.89752115</v>
      </c>
      <c r="G13" s="18" t="n">
        <v>44.80238186</v>
      </c>
      <c r="H13" s="20" t="n">
        <v>2.99702026</v>
      </c>
      <c r="I13" s="18" t="s">
        <v>349</v>
      </c>
      <c r="J13" s="20" t="s">
        <v>349</v>
      </c>
      <c r="K13" s="18" t="n">
        <v>0.55349379</v>
      </c>
      <c r="L13" s="20" t="n">
        <v>0.56122264</v>
      </c>
      <c r="M13" s="18" t="n">
        <v>0</v>
      </c>
      <c r="N13" s="20" t="n">
        <v>0</v>
      </c>
      <c r="O13" s="18" t="n">
        <v>0</v>
      </c>
      <c r="P13" s="20" t="n">
        <v>0</v>
      </c>
      <c r="Q13" s="18" t="n">
        <v>1.43046665</v>
      </c>
      <c r="R13" s="20" t="n">
        <v>0.67103851</v>
      </c>
    </row>
    <row r="14" spans="1:18">
      <c r="A14" s="15" t="s">
        <v>356</v>
      </c>
      <c r="B14" s="17" t="n">
        <v>2799</v>
      </c>
      <c r="C14" s="18">
        <f>(2474.0/B14*100)</f>
        <v/>
      </c>
      <c r="D14" s="19" t="n">
        <v>325</v>
      </c>
      <c r="E14" s="18" t="n">
        <v>69.4666057</v>
      </c>
      <c r="F14" s="20" t="n">
        <v>2.69616055</v>
      </c>
      <c r="G14" s="18" t="n">
        <v>30.2758202</v>
      </c>
      <c r="H14" s="20" t="n">
        <v>2.73072571</v>
      </c>
      <c r="I14" s="18" t="s">
        <v>349</v>
      </c>
      <c r="J14" s="20" t="s">
        <v>349</v>
      </c>
      <c r="K14" s="18" t="n">
        <v>0</v>
      </c>
      <c r="L14" s="20" t="n">
        <v>0</v>
      </c>
      <c r="M14" s="18" t="n">
        <v>0</v>
      </c>
      <c r="N14" s="20" t="n">
        <v>0</v>
      </c>
      <c r="O14" s="18" t="n">
        <v>0</v>
      </c>
      <c r="P14" s="20" t="n">
        <v>0</v>
      </c>
      <c r="Q14" s="18" t="n">
        <v>0.2575741</v>
      </c>
      <c r="R14" s="20" t="n">
        <v>0.25882218</v>
      </c>
    </row>
    <row r="15" spans="1:18">
      <c r="A15" s="15" t="s">
        <v>357</v>
      </c>
      <c r="B15" s="17" t="n">
        <v>3019</v>
      </c>
      <c r="C15" s="18">
        <f>(2649.0/B15*100)</f>
        <v/>
      </c>
      <c r="D15" s="19" t="n">
        <v>370</v>
      </c>
      <c r="E15" s="18" t="n">
        <v>54.9111888</v>
      </c>
      <c r="F15" s="20" t="n">
        <v>2.71211805</v>
      </c>
      <c r="G15" s="18" t="n">
        <v>44.79700437</v>
      </c>
      <c r="H15" s="20" t="n">
        <v>2.69606884</v>
      </c>
      <c r="I15" s="18" t="s">
        <v>349</v>
      </c>
      <c r="J15" s="20" t="s">
        <v>349</v>
      </c>
      <c r="K15" s="18" t="n">
        <v>0</v>
      </c>
      <c r="L15" s="20" t="n">
        <v>0</v>
      </c>
      <c r="M15" s="18" t="n">
        <v>0</v>
      </c>
      <c r="N15" s="20" t="n">
        <v>0</v>
      </c>
      <c r="O15" s="18" t="n">
        <v>0</v>
      </c>
      <c r="P15" s="20" t="n">
        <v>0</v>
      </c>
      <c r="Q15" s="18" t="n">
        <v>0.29180684</v>
      </c>
      <c r="R15" s="20" t="n">
        <v>0.29271954</v>
      </c>
    </row>
    <row r="16" spans="1:18">
      <c r="A16" s="15" t="s">
        <v>358</v>
      </c>
      <c r="B16" s="17" t="n">
        <v>2997</v>
      </c>
      <c r="C16" s="18">
        <f>(2638.0/B16*100)</f>
        <v/>
      </c>
      <c r="D16" s="19" t="n">
        <v>359</v>
      </c>
      <c r="E16" s="18" t="n">
        <v>49.16220668</v>
      </c>
      <c r="F16" s="20" t="n">
        <v>2.52842928</v>
      </c>
      <c r="G16" s="18" t="n">
        <v>50.3109057</v>
      </c>
      <c r="H16" s="20" t="n">
        <v>2.48184042</v>
      </c>
      <c r="I16" s="18" t="s">
        <v>349</v>
      </c>
      <c r="J16" s="20" t="s">
        <v>349</v>
      </c>
      <c r="K16" s="18" t="n">
        <v>0.27616308</v>
      </c>
      <c r="L16" s="20" t="n">
        <v>0.34041007</v>
      </c>
      <c r="M16" s="18" t="n">
        <v>0</v>
      </c>
      <c r="N16" s="20" t="n">
        <v>0</v>
      </c>
      <c r="O16" s="18" t="n">
        <v>0</v>
      </c>
      <c r="P16" s="20" t="n">
        <v>0</v>
      </c>
      <c r="Q16" s="18" t="n">
        <v>0.25072454</v>
      </c>
      <c r="R16" s="20" t="n">
        <v>0.23319552</v>
      </c>
    </row>
    <row r="17" spans="1:18">
      <c r="A17" s="15" t="s">
        <v>359</v>
      </c>
      <c r="B17" s="17" t="n">
        <v>3307</v>
      </c>
      <c r="C17" s="18">
        <f>(2890.0/B17*100)</f>
        <v/>
      </c>
      <c r="D17" s="19" t="n">
        <v>417</v>
      </c>
      <c r="E17" s="18" t="n">
        <v>44.4393976</v>
      </c>
      <c r="F17" s="20" t="n">
        <v>2.13222101</v>
      </c>
      <c r="G17" s="18" t="n">
        <v>54.41405538</v>
      </c>
      <c r="H17" s="20" t="n">
        <v>2.11751494</v>
      </c>
      <c r="I17" s="18" t="s">
        <v>349</v>
      </c>
      <c r="J17" s="20" t="s">
        <v>349</v>
      </c>
      <c r="K17" s="18" t="n">
        <v>0.17399128</v>
      </c>
      <c r="L17" s="20" t="n">
        <v>0.1805733</v>
      </c>
      <c r="M17" s="18" t="n">
        <v>0</v>
      </c>
      <c r="N17" s="20" t="n">
        <v>0</v>
      </c>
      <c r="O17" s="18" t="n">
        <v>0</v>
      </c>
      <c r="P17" s="20" t="n">
        <v>0</v>
      </c>
      <c r="Q17" s="18" t="n">
        <v>0.97255574</v>
      </c>
      <c r="R17" s="20" t="n">
        <v>0.49956569</v>
      </c>
    </row>
    <row r="18" spans="1:18">
      <c r="A18" s="15" t="s">
        <v>360</v>
      </c>
      <c r="B18" s="17" t="n">
        <v>2826</v>
      </c>
      <c r="C18" s="18">
        <f>(2486.0/B18*100)</f>
        <v/>
      </c>
      <c r="D18" s="19" t="n">
        <v>340</v>
      </c>
      <c r="E18" s="18" t="n">
        <v>65.70561671999999</v>
      </c>
      <c r="F18" s="20" t="n">
        <v>2.42684836</v>
      </c>
      <c r="G18" s="18" t="n">
        <v>33.73092194</v>
      </c>
      <c r="H18" s="20" t="n">
        <v>2.37103693</v>
      </c>
      <c r="I18" s="18" t="s">
        <v>349</v>
      </c>
      <c r="J18" s="20" t="s">
        <v>349</v>
      </c>
      <c r="K18" s="18" t="n">
        <v>0</v>
      </c>
      <c r="L18" s="20" t="n">
        <v>0</v>
      </c>
      <c r="M18" s="18" t="n">
        <v>0</v>
      </c>
      <c r="N18" s="20" t="n">
        <v>0</v>
      </c>
      <c r="O18" s="18" t="n">
        <v>0</v>
      </c>
      <c r="P18" s="20" t="n">
        <v>0</v>
      </c>
      <c r="Q18" s="18" t="n">
        <v>0.56346134</v>
      </c>
      <c r="R18" s="20" t="n">
        <v>0.34685521</v>
      </c>
    </row>
    <row r="19" spans="1:18">
      <c r="A19" s="15" t="s">
        <v>361</v>
      </c>
      <c r="B19" s="17" t="n">
        <v>2808</v>
      </c>
      <c r="C19" s="18">
        <f>(2459.0/B19*100)</f>
        <v/>
      </c>
      <c r="D19" s="19" t="n">
        <v>349</v>
      </c>
      <c r="E19" s="18" t="n">
        <v>70.84813631999999</v>
      </c>
      <c r="F19" s="20" t="n">
        <v>2.85521116</v>
      </c>
      <c r="G19" s="18" t="n">
        <v>28.61147718</v>
      </c>
      <c r="H19" s="20" t="n">
        <v>2.9385009</v>
      </c>
      <c r="I19" s="18" t="s">
        <v>349</v>
      </c>
      <c r="J19" s="20" t="s">
        <v>349</v>
      </c>
      <c r="K19" s="18" t="n">
        <v>0</v>
      </c>
      <c r="L19" s="20" t="n">
        <v>0</v>
      </c>
      <c r="M19" s="18" t="n">
        <v>0</v>
      </c>
      <c r="N19" s="20" t="n">
        <v>0</v>
      </c>
      <c r="O19" s="18" t="n">
        <v>0</v>
      </c>
      <c r="P19" s="20" t="n">
        <v>0</v>
      </c>
      <c r="Q19" s="18" t="n">
        <v>0.5403865</v>
      </c>
      <c r="R19" s="20" t="n">
        <v>0.36663438</v>
      </c>
    </row>
    <row r="20" spans="1:18">
      <c r="A20" s="15" t="s">
        <v>362</v>
      </c>
      <c r="B20" s="17" t="n">
        <v>1630</v>
      </c>
      <c r="C20" s="18">
        <f>(1432.0/B20*100)</f>
        <v/>
      </c>
      <c r="D20" s="19" t="n">
        <v>198</v>
      </c>
      <c r="E20" s="18" t="n">
        <v>55.8615416</v>
      </c>
      <c r="F20" s="20" t="n">
        <v>3.15216927</v>
      </c>
      <c r="G20" s="18" t="n">
        <v>43.63973345</v>
      </c>
      <c r="H20" s="20" t="n">
        <v>3.15324727</v>
      </c>
      <c r="I20" s="18" t="s">
        <v>349</v>
      </c>
      <c r="J20" s="20" t="s">
        <v>349</v>
      </c>
      <c r="K20" s="18" t="n">
        <v>0</v>
      </c>
      <c r="L20" s="20" t="n">
        <v>0</v>
      </c>
      <c r="M20" s="18" t="n">
        <v>0</v>
      </c>
      <c r="N20" s="20" t="n">
        <v>0</v>
      </c>
      <c r="O20" s="18" t="n">
        <v>0</v>
      </c>
      <c r="P20" s="20" t="n">
        <v>0</v>
      </c>
      <c r="Q20" s="18" t="n">
        <v>0.49872495</v>
      </c>
      <c r="R20" s="20" t="n">
        <v>0.50607649</v>
      </c>
    </row>
    <row r="21" spans="1:18">
      <c r="A21" s="15" t="s">
        <v>363</v>
      </c>
      <c r="B21" s="17" t="n">
        <v>2908</v>
      </c>
      <c r="C21" s="18">
        <f>(2413.0/B21*100)</f>
        <v/>
      </c>
      <c r="D21" s="19" t="n">
        <v>495</v>
      </c>
      <c r="E21" s="18" t="n">
        <v>46.75300314</v>
      </c>
      <c r="F21" s="20" t="n">
        <v>2.39925861</v>
      </c>
      <c r="G21" s="18" t="n">
        <v>52.85547115</v>
      </c>
      <c r="H21" s="20" t="n">
        <v>2.39622053</v>
      </c>
      <c r="I21" s="18" t="s">
        <v>349</v>
      </c>
      <c r="J21" s="20" t="s">
        <v>349</v>
      </c>
      <c r="K21" s="18" t="n">
        <v>0.18913373</v>
      </c>
      <c r="L21" s="20" t="n">
        <v>0.18853547</v>
      </c>
      <c r="M21" s="18" t="n">
        <v>0</v>
      </c>
      <c r="N21" s="20" t="n">
        <v>0</v>
      </c>
      <c r="O21" s="18" t="n">
        <v>0</v>
      </c>
      <c r="P21" s="20" t="n">
        <v>0</v>
      </c>
      <c r="Q21" s="18" t="n">
        <v>0.20239197</v>
      </c>
      <c r="R21" s="20" t="n">
        <v>0.22284171</v>
      </c>
    </row>
    <row r="22" spans="1:18">
      <c r="A22" s="15" t="s">
        <v>364</v>
      </c>
      <c r="B22" s="17" t="n">
        <v>2931</v>
      </c>
      <c r="C22" s="18">
        <f>(2573.0/B22*100)</f>
        <v/>
      </c>
      <c r="D22" s="19" t="n">
        <v>358</v>
      </c>
      <c r="E22" s="18" t="n">
        <v>61.32940268</v>
      </c>
      <c r="F22" s="20" t="n">
        <v>3.09797433</v>
      </c>
      <c r="G22" s="18" t="n">
        <v>36.87756015</v>
      </c>
      <c r="H22" s="20" t="n">
        <v>3.13866537</v>
      </c>
      <c r="I22" s="18" t="s">
        <v>349</v>
      </c>
      <c r="J22" s="20" t="s">
        <v>349</v>
      </c>
      <c r="K22" s="18" t="n">
        <v>0.74437821</v>
      </c>
      <c r="L22" s="20" t="n">
        <v>0.57507956</v>
      </c>
      <c r="M22" s="18" t="n">
        <v>0</v>
      </c>
      <c r="N22" s="20" t="n">
        <v>0</v>
      </c>
      <c r="O22" s="18" t="n">
        <v>0</v>
      </c>
      <c r="P22" s="20" t="n">
        <v>0</v>
      </c>
      <c r="Q22" s="18" t="n">
        <v>1.04865896</v>
      </c>
      <c r="R22" s="20" t="n">
        <v>0.61673953</v>
      </c>
    </row>
    <row r="23" spans="1:18">
      <c r="A23" s="15" t="s">
        <v>365</v>
      </c>
      <c r="B23" s="17" t="n">
        <v>5791</v>
      </c>
      <c r="C23" s="18">
        <f>(5065.0/B23*100)</f>
        <v/>
      </c>
      <c r="D23" s="19" t="n">
        <v>726</v>
      </c>
      <c r="E23" s="18" t="n">
        <v>55.90951054</v>
      </c>
      <c r="F23" s="20" t="n">
        <v>2.47005277</v>
      </c>
      <c r="G23" s="18" t="n">
        <v>44.00536952</v>
      </c>
      <c r="H23" s="20" t="n">
        <v>2.48238594</v>
      </c>
      <c r="I23" s="18" t="s">
        <v>349</v>
      </c>
      <c r="J23" s="20" t="s">
        <v>349</v>
      </c>
      <c r="K23" s="18" t="n">
        <v>0</v>
      </c>
      <c r="L23" s="20" t="n">
        <v>0</v>
      </c>
      <c r="M23" s="18" t="n">
        <v>0</v>
      </c>
      <c r="N23" s="20" t="n">
        <v>0</v>
      </c>
      <c r="O23" s="18" t="n">
        <v>0</v>
      </c>
      <c r="P23" s="20" t="n">
        <v>0</v>
      </c>
      <c r="Q23" s="18" t="n">
        <v>0.08511993</v>
      </c>
      <c r="R23" s="20" t="n">
        <v>0.08549416</v>
      </c>
    </row>
    <row r="24" spans="1:18">
      <c r="A24" s="15" t="s">
        <v>366</v>
      </c>
      <c r="B24" s="17" t="n">
        <v>3338</v>
      </c>
      <c r="C24" s="18">
        <f>(2921.0/B24*100)</f>
        <v/>
      </c>
      <c r="D24" s="19" t="n">
        <v>417</v>
      </c>
      <c r="E24" s="18" t="n">
        <v>53.58377275</v>
      </c>
      <c r="F24" s="20" t="n">
        <v>2.52714978</v>
      </c>
      <c r="G24" s="18" t="n">
        <v>45.59839707</v>
      </c>
      <c r="H24" s="20" t="n">
        <v>2.52140769</v>
      </c>
      <c r="I24" s="18" t="s">
        <v>349</v>
      </c>
      <c r="J24" s="20" t="s">
        <v>349</v>
      </c>
      <c r="K24" s="18" t="n">
        <v>0.17011473</v>
      </c>
      <c r="L24" s="20" t="n">
        <v>0.17093135</v>
      </c>
      <c r="M24" s="18" t="n">
        <v>0</v>
      </c>
      <c r="N24" s="20" t="n">
        <v>0</v>
      </c>
      <c r="O24" s="18" t="n">
        <v>0</v>
      </c>
      <c r="P24" s="20" t="n">
        <v>0</v>
      </c>
      <c r="Q24" s="18" t="n">
        <v>0.64771545</v>
      </c>
      <c r="R24" s="20" t="n">
        <v>0.38352059</v>
      </c>
    </row>
    <row r="25" spans="1:18">
      <c r="A25" s="15" t="s">
        <v>367</v>
      </c>
      <c r="B25" s="17" t="n">
        <v>2912</v>
      </c>
      <c r="C25" s="18">
        <f>(2575.0/B25*100)</f>
        <v/>
      </c>
      <c r="D25" s="19" t="n">
        <v>337</v>
      </c>
      <c r="E25" s="18" t="n">
        <v>57.96514533</v>
      </c>
      <c r="F25" s="20" t="n">
        <v>2.88398775</v>
      </c>
      <c r="G25" s="18" t="n">
        <v>41.16414318</v>
      </c>
      <c r="H25" s="20" t="n">
        <v>2.88357446</v>
      </c>
      <c r="I25" s="18" t="s">
        <v>349</v>
      </c>
      <c r="J25" s="20" t="s">
        <v>349</v>
      </c>
      <c r="K25" s="18" t="n">
        <v>0</v>
      </c>
      <c r="L25" s="20" t="n">
        <v>0</v>
      </c>
      <c r="M25" s="18" t="n">
        <v>0</v>
      </c>
      <c r="N25" s="20" t="n">
        <v>0</v>
      </c>
      <c r="O25" s="18" t="n">
        <v>0</v>
      </c>
      <c r="P25" s="20" t="n">
        <v>0</v>
      </c>
      <c r="Q25" s="18" t="n">
        <v>0.87071148</v>
      </c>
      <c r="R25" s="20" t="n">
        <v>0.50284358</v>
      </c>
    </row>
    <row r="26" spans="1:18">
      <c r="A26" s="15" t="s">
        <v>368</v>
      </c>
      <c r="B26" s="17" t="n">
        <v>2450</v>
      </c>
      <c r="C26" s="18">
        <f>(2132.0/B26*100)</f>
        <v/>
      </c>
      <c r="D26" s="19" t="n">
        <v>318</v>
      </c>
      <c r="E26" s="18" t="n">
        <v>79.74651430999999</v>
      </c>
      <c r="F26" s="20" t="n">
        <v>2.43032314</v>
      </c>
      <c r="G26" s="18" t="n">
        <v>20.25348569</v>
      </c>
      <c r="H26" s="20" t="n">
        <v>2.43032314</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(2303.0/B27*100)</f>
        <v/>
      </c>
      <c r="D27" s="19" t="n">
        <v>313</v>
      </c>
      <c r="E27" s="18" t="n">
        <v>67.66551044000001</v>
      </c>
      <c r="F27" s="20" t="n">
        <v>2.8533711</v>
      </c>
      <c r="G27" s="18" t="n">
        <v>31.38214729</v>
      </c>
      <c r="H27" s="20" t="n">
        <v>2.83226228</v>
      </c>
      <c r="I27" s="18" t="s">
        <v>349</v>
      </c>
      <c r="J27" s="20" t="s">
        <v>349</v>
      </c>
      <c r="K27" s="18" t="n">
        <v>0.31571129</v>
      </c>
      <c r="L27" s="20" t="n">
        <v>0.31259993</v>
      </c>
      <c r="M27" s="18" t="n">
        <v>0</v>
      </c>
      <c r="N27" s="20" t="n">
        <v>0</v>
      </c>
      <c r="O27" s="18" t="n">
        <v>0</v>
      </c>
      <c r="P27" s="20" t="n">
        <v>0</v>
      </c>
      <c r="Q27" s="18" t="n">
        <v>0.63663099</v>
      </c>
      <c r="R27" s="20" t="n">
        <v>0.04596508</v>
      </c>
    </row>
    <row r="28" spans="1:18">
      <c r="A28" s="15" t="s">
        <v>370</v>
      </c>
      <c r="B28" s="17" t="n">
        <v>3765</v>
      </c>
      <c r="C28" s="18">
        <f>(3282.0/B28*100)</f>
        <v/>
      </c>
      <c r="D28" s="19" t="n">
        <v>483</v>
      </c>
      <c r="E28" s="18" t="n">
        <v>83.7993225</v>
      </c>
      <c r="F28" s="20" t="n">
        <v>1.77895011</v>
      </c>
      <c r="G28" s="18" t="n">
        <v>15.03284239</v>
      </c>
      <c r="H28" s="20" t="n">
        <v>1.65936408</v>
      </c>
      <c r="I28" s="18" t="s">
        <v>349</v>
      </c>
      <c r="J28" s="20" t="s">
        <v>349</v>
      </c>
      <c r="K28" s="18" t="n">
        <v>0.35205977</v>
      </c>
      <c r="L28" s="20" t="n">
        <v>0.35174436</v>
      </c>
      <c r="M28" s="18" t="n">
        <v>0</v>
      </c>
      <c r="N28" s="20" t="n">
        <v>0</v>
      </c>
      <c r="O28" s="18" t="n">
        <v>0</v>
      </c>
      <c r="P28" s="20" t="n">
        <v>0</v>
      </c>
      <c r="Q28" s="18" t="n">
        <v>0.81577534</v>
      </c>
      <c r="R28" s="20" t="n">
        <v>0.51121009</v>
      </c>
    </row>
    <row r="29" spans="1:18">
      <c r="A29" s="15" t="s">
        <v>371</v>
      </c>
      <c r="B29" s="17" t="n">
        <v>2685</v>
      </c>
      <c r="C29" s="18">
        <f>(2377.0/B29*100)</f>
        <v/>
      </c>
      <c r="D29" s="19" t="n">
        <v>308</v>
      </c>
      <c r="E29" s="18" t="n">
        <v>66.10644671</v>
      </c>
      <c r="F29" s="20" t="n">
        <v>2.57740329</v>
      </c>
      <c r="G29" s="18" t="n">
        <v>33.89355329</v>
      </c>
      <c r="H29" s="20" t="n">
        <v>2.57740329</v>
      </c>
      <c r="I29" s="18" t="s">
        <v>349</v>
      </c>
      <c r="J29" s="20" t="s">
        <v>349</v>
      </c>
      <c r="K29" s="18" t="n">
        <v>0</v>
      </c>
      <c r="L29" s="20" t="n">
        <v>0</v>
      </c>
      <c r="M29" s="18" t="n">
        <v>0</v>
      </c>
      <c r="N29" s="20" t="n">
        <v>0</v>
      </c>
      <c r="O29" s="18" t="n">
        <v>0</v>
      </c>
      <c r="P29" s="20" t="n">
        <v>0</v>
      </c>
      <c r="Q29" s="18" t="n">
        <v>0</v>
      </c>
      <c r="R29" s="20" t="n">
        <v>0</v>
      </c>
    </row>
    <row r="30" spans="1:18">
      <c r="A30" s="15" t="s">
        <v>372</v>
      </c>
      <c r="B30" s="17" t="n">
        <v>2263</v>
      </c>
      <c r="C30" s="18">
        <f>(1972.0/B30*100)</f>
        <v/>
      </c>
      <c r="D30" s="19" t="n">
        <v>291</v>
      </c>
      <c r="E30" s="18" t="n">
        <v>51.02986483</v>
      </c>
      <c r="F30" s="20" t="n">
        <v>3.13091209</v>
      </c>
      <c r="G30" s="18" t="n">
        <v>48.52359073</v>
      </c>
      <c r="H30" s="20" t="n">
        <v>3.10652039</v>
      </c>
      <c r="I30" s="18" t="s">
        <v>349</v>
      </c>
      <c r="J30" s="20" t="s">
        <v>349</v>
      </c>
      <c r="K30" s="18" t="n">
        <v>0</v>
      </c>
      <c r="L30" s="20" t="n">
        <v>0</v>
      </c>
      <c r="M30" s="18" t="n">
        <v>0</v>
      </c>
      <c r="N30" s="20" t="n">
        <v>0</v>
      </c>
      <c r="O30" s="18" t="n">
        <v>0</v>
      </c>
      <c r="P30" s="20" t="n">
        <v>0</v>
      </c>
      <c r="Q30" s="18" t="n">
        <v>0.44654443</v>
      </c>
      <c r="R30" s="20" t="n">
        <v>0.38439699</v>
      </c>
    </row>
    <row r="31" spans="1:18">
      <c r="A31" s="15" t="s">
        <v>373</v>
      </c>
      <c r="B31" s="17" t="n">
        <v>2750</v>
      </c>
      <c r="C31" s="18">
        <f>(2420.0/B31*100)</f>
        <v/>
      </c>
      <c r="D31" s="19" t="n">
        <v>330</v>
      </c>
      <c r="E31" s="18" t="n">
        <v>66.98971191</v>
      </c>
      <c r="F31" s="20" t="n">
        <v>2.95687104</v>
      </c>
      <c r="G31" s="18" t="n">
        <v>31.5405251</v>
      </c>
      <c r="H31" s="20" t="n">
        <v>2.85568706</v>
      </c>
      <c r="I31" s="18" t="s">
        <v>349</v>
      </c>
      <c r="J31" s="20" t="s">
        <v>349</v>
      </c>
      <c r="K31" s="18" t="n">
        <v>0.27055488</v>
      </c>
      <c r="L31" s="20" t="n">
        <v>0.26722689</v>
      </c>
      <c r="M31" s="18" t="n">
        <v>0</v>
      </c>
      <c r="N31" s="20" t="n">
        <v>0</v>
      </c>
      <c r="O31" s="18" t="n">
        <v>0</v>
      </c>
      <c r="P31" s="20" t="n">
        <v>0</v>
      </c>
      <c r="Q31" s="18" t="n">
        <v>1.19920811</v>
      </c>
      <c r="R31" s="20" t="n">
        <v>0.55990155</v>
      </c>
    </row>
    <row r="32" spans="1:18">
      <c r="A32" s="15" t="s">
        <v>374</v>
      </c>
      <c r="B32" s="17" t="n">
        <v>2269</v>
      </c>
      <c r="C32" s="18">
        <f>(1903.0/B32*100)</f>
        <v/>
      </c>
      <c r="D32" s="19" t="n">
        <v>366</v>
      </c>
      <c r="E32" s="18" t="n">
        <v>77.07102326</v>
      </c>
      <c r="F32" s="20" t="n">
        <v>2.04234776</v>
      </c>
      <c r="G32" s="18" t="n">
        <v>22.65079504</v>
      </c>
      <c r="H32" s="20" t="n">
        <v>2.06189653</v>
      </c>
      <c r="I32" s="18" t="s">
        <v>349</v>
      </c>
      <c r="J32" s="20" t="s">
        <v>349</v>
      </c>
      <c r="K32" s="18" t="n">
        <v>0</v>
      </c>
      <c r="L32" s="20" t="n">
        <v>0</v>
      </c>
      <c r="M32" s="18" t="n">
        <v>0</v>
      </c>
      <c r="N32" s="20" t="n">
        <v>0</v>
      </c>
      <c r="O32" s="18" t="n">
        <v>0</v>
      </c>
      <c r="P32" s="20" t="n">
        <v>0</v>
      </c>
      <c r="Q32" s="18" t="n">
        <v>0.27818171</v>
      </c>
      <c r="R32" s="20" t="n">
        <v>0.2754322</v>
      </c>
    </row>
    <row r="33" spans="1:18">
      <c r="A33" s="15" t="s">
        <v>375</v>
      </c>
      <c r="B33" s="17" t="n">
        <v>3674</v>
      </c>
      <c r="C33" s="18">
        <f>(3222.0/B33*100)</f>
        <v/>
      </c>
      <c r="D33" s="19" t="n">
        <v>452</v>
      </c>
      <c r="E33" s="18" t="n">
        <v>51.75534827</v>
      </c>
      <c r="F33" s="20" t="n">
        <v>2.47473429</v>
      </c>
      <c r="G33" s="18" t="n">
        <v>46.83875232</v>
      </c>
      <c r="H33" s="20" t="n">
        <v>2.50487398</v>
      </c>
      <c r="I33" s="18" t="s">
        <v>349</v>
      </c>
      <c r="J33" s="20" t="s">
        <v>349</v>
      </c>
      <c r="K33" s="18" t="n">
        <v>1.10610382</v>
      </c>
      <c r="L33" s="20" t="n">
        <v>1.0460257</v>
      </c>
      <c r="M33" s="18" t="n">
        <v>0</v>
      </c>
      <c r="N33" s="20" t="n">
        <v>0</v>
      </c>
      <c r="O33" s="18" t="n">
        <v>0</v>
      </c>
      <c r="P33" s="20" t="n">
        <v>0</v>
      </c>
      <c r="Q33" s="18" t="n">
        <v>0.29979559</v>
      </c>
      <c r="R33" s="20" t="n">
        <v>0.17163255</v>
      </c>
    </row>
    <row r="34" spans="1:18">
      <c r="A34" s="15" t="s">
        <v>376</v>
      </c>
      <c r="B34" s="17" t="n">
        <v>3315</v>
      </c>
      <c r="C34" s="18">
        <f>(2903.0/B34*100)</f>
        <v/>
      </c>
      <c r="D34" s="19" t="n">
        <v>412</v>
      </c>
      <c r="E34" s="18" t="n">
        <v>79.86096125</v>
      </c>
      <c r="F34" s="20" t="n">
        <v>2.04853833</v>
      </c>
      <c r="G34" s="18" t="n">
        <v>19.92005121</v>
      </c>
      <c r="H34" s="20" t="n">
        <v>2.05518037</v>
      </c>
      <c r="I34" s="18" t="s">
        <v>349</v>
      </c>
      <c r="J34" s="20" t="s">
        <v>349</v>
      </c>
      <c r="K34" s="18" t="n">
        <v>0</v>
      </c>
      <c r="L34" s="20" t="n">
        <v>0</v>
      </c>
      <c r="M34" s="18" t="n">
        <v>0</v>
      </c>
      <c r="N34" s="20" t="n">
        <v>0</v>
      </c>
      <c r="O34" s="18" t="n">
        <v>0</v>
      </c>
      <c r="P34" s="20" t="n">
        <v>0</v>
      </c>
      <c r="Q34" s="18" t="n">
        <v>0.21898754</v>
      </c>
      <c r="R34" s="20" t="n">
        <v>0.21104269</v>
      </c>
    </row>
    <row r="35" spans="1:18">
      <c r="A35" s="15" t="s">
        <v>377</v>
      </c>
      <c r="B35" s="17" t="n">
        <v>3505</v>
      </c>
      <c r="C35" s="18">
        <f>(3096.0/B35*100)</f>
        <v/>
      </c>
      <c r="D35" s="19" t="n">
        <v>409</v>
      </c>
      <c r="E35" s="18" t="n">
        <v>68.75769824</v>
      </c>
      <c r="F35" s="20" t="n">
        <v>2.66267078</v>
      </c>
      <c r="G35" s="18" t="n">
        <v>31.13792168</v>
      </c>
      <c r="H35" s="20" t="n">
        <v>2.66280359</v>
      </c>
      <c r="I35" s="18" t="s">
        <v>349</v>
      </c>
      <c r="J35" s="20" t="s">
        <v>349</v>
      </c>
      <c r="K35" s="18" t="n">
        <v>0</v>
      </c>
      <c r="L35" s="20" t="n">
        <v>0</v>
      </c>
      <c r="M35" s="18" t="n">
        <v>0</v>
      </c>
      <c r="N35" s="20" t="n">
        <v>0</v>
      </c>
      <c r="O35" s="18" t="n">
        <v>0</v>
      </c>
      <c r="P35" s="20" t="n">
        <v>0</v>
      </c>
      <c r="Q35" s="18" t="n">
        <v>0.10438008</v>
      </c>
      <c r="R35" s="20" t="n">
        <v>0.10412869</v>
      </c>
    </row>
    <row r="36" spans="1:18">
      <c r="A36" s="15" t="s">
        <v>378</v>
      </c>
      <c r="B36" s="17" t="n">
        <v>3332</v>
      </c>
      <c r="C36" s="18">
        <f>(2929.0/B36*100)</f>
        <v/>
      </c>
      <c r="D36" s="19" t="n">
        <v>403</v>
      </c>
      <c r="E36" s="18" t="n">
        <v>51.19390554</v>
      </c>
      <c r="F36" s="20" t="n">
        <v>2.55049712</v>
      </c>
      <c r="G36" s="18" t="n">
        <v>47.4865058</v>
      </c>
      <c r="H36" s="20" t="n">
        <v>2.56807879</v>
      </c>
      <c r="I36" s="18" t="s">
        <v>349</v>
      </c>
      <c r="J36" s="20" t="s">
        <v>349</v>
      </c>
      <c r="K36" s="18" t="n">
        <v>0.25829494</v>
      </c>
      <c r="L36" s="20" t="n">
        <v>0.26416973</v>
      </c>
      <c r="M36" s="18" t="n">
        <v>0</v>
      </c>
      <c r="N36" s="20" t="n">
        <v>0</v>
      </c>
      <c r="O36" s="18" t="n">
        <v>0</v>
      </c>
      <c r="P36" s="20" t="n">
        <v>0</v>
      </c>
      <c r="Q36" s="18" t="n">
        <v>1.06129373</v>
      </c>
      <c r="R36" s="20" t="n">
        <v>0.51503641</v>
      </c>
    </row>
    <row r="37" spans="1:18">
      <c r="A37" s="15" t="s">
        <v>379</v>
      </c>
      <c r="B37" s="17" t="n">
        <v>2727</v>
      </c>
      <c r="C37" s="18">
        <f>(2389.0/B37*100)</f>
        <v/>
      </c>
      <c r="D37" s="19" t="n">
        <v>338</v>
      </c>
      <c r="E37" s="18" t="n">
        <v>54.89891135</v>
      </c>
      <c r="F37" s="20" t="n">
        <v>2.99098569</v>
      </c>
      <c r="G37" s="18" t="n">
        <v>43.43375639</v>
      </c>
      <c r="H37" s="20" t="n">
        <v>2.89754592</v>
      </c>
      <c r="I37" s="18" t="s">
        <v>349</v>
      </c>
      <c r="J37" s="20" t="s">
        <v>349</v>
      </c>
      <c r="K37" s="18" t="n">
        <v>0.29633212</v>
      </c>
      <c r="L37" s="20" t="n">
        <v>0.29475945</v>
      </c>
      <c r="M37" s="18" t="n">
        <v>0</v>
      </c>
      <c r="N37" s="20" t="n">
        <v>0</v>
      </c>
      <c r="O37" s="18" t="n">
        <v>0</v>
      </c>
      <c r="P37" s="20" t="n">
        <v>0</v>
      </c>
      <c r="Q37" s="18" t="n">
        <v>1.37100014</v>
      </c>
      <c r="R37" s="20" t="n">
        <v>0.70237326</v>
      </c>
    </row>
    <row r="38" spans="1:18">
      <c r="A38" s="15" t="s">
        <v>380</v>
      </c>
      <c r="B38" s="17" t="n">
        <v>3053</v>
      </c>
      <c r="C38" s="18">
        <f>(2548.0/B38*100)</f>
        <v/>
      </c>
      <c r="D38" s="19" t="n">
        <v>505</v>
      </c>
      <c r="E38" s="18" t="n">
        <v>56.87286563</v>
      </c>
      <c r="F38" s="20" t="n">
        <v>2.45012857</v>
      </c>
      <c r="G38" s="18" t="n">
        <v>42.5296041</v>
      </c>
      <c r="H38" s="20" t="n">
        <v>2.47466027</v>
      </c>
      <c r="I38" s="18" t="s">
        <v>349</v>
      </c>
      <c r="J38" s="20" t="s">
        <v>349</v>
      </c>
      <c r="K38" s="18" t="n">
        <v>0.19763714</v>
      </c>
      <c r="L38" s="20" t="n">
        <v>0.20345197</v>
      </c>
      <c r="M38" s="18" t="n">
        <v>0</v>
      </c>
      <c r="N38" s="20" t="n">
        <v>0</v>
      </c>
      <c r="O38" s="18" t="n">
        <v>0</v>
      </c>
      <c r="P38" s="20" t="n">
        <v>0</v>
      </c>
      <c r="Q38" s="18" t="n">
        <v>0.39989313</v>
      </c>
      <c r="R38" s="20" t="n">
        <v>0.28469099</v>
      </c>
    </row>
    <row r="39" spans="1:18">
      <c r="A39" s="15" t="s">
        <v>381</v>
      </c>
      <c r="B39" s="17" t="n">
        <v>2957</v>
      </c>
      <c r="C39" s="18">
        <f>(2598.0/B39*100)</f>
        <v/>
      </c>
      <c r="D39" s="19" t="n">
        <v>359</v>
      </c>
      <c r="E39" s="18" t="n">
        <v>64.01468588</v>
      </c>
      <c r="F39" s="20" t="n">
        <v>2.75274022</v>
      </c>
      <c r="G39" s="18" t="n">
        <v>35.42108952</v>
      </c>
      <c r="H39" s="20" t="n">
        <v>2.73242707</v>
      </c>
      <c r="I39" s="18" t="s">
        <v>349</v>
      </c>
      <c r="J39" s="20" t="s">
        <v>349</v>
      </c>
      <c r="K39" s="18" t="n">
        <v>0.35458728</v>
      </c>
      <c r="L39" s="20" t="n">
        <v>0.25544255</v>
      </c>
      <c r="M39" s="18" t="n">
        <v>0</v>
      </c>
      <c r="N39" s="20" t="n">
        <v>0</v>
      </c>
      <c r="O39" s="18" t="n">
        <v>0</v>
      </c>
      <c r="P39" s="20" t="n">
        <v>0</v>
      </c>
      <c r="Q39" s="18" t="n">
        <v>0.20963732</v>
      </c>
      <c r="R39" s="20" t="n">
        <v>0.21272138</v>
      </c>
    </row>
    <row r="40" spans="1:18">
      <c r="A40" s="15" t="s">
        <v>382</v>
      </c>
      <c r="B40" s="17" t="n">
        <v>7235</v>
      </c>
      <c r="C40" s="18">
        <f>(6329.0/B40*100)</f>
        <v/>
      </c>
      <c r="D40" s="19" t="n">
        <v>906</v>
      </c>
      <c r="E40" s="18" t="n">
        <v>49.88282682</v>
      </c>
      <c r="F40" s="20" t="n">
        <v>2.55177239</v>
      </c>
      <c r="G40" s="18" t="n">
        <v>48.27820176</v>
      </c>
      <c r="H40" s="20" t="n">
        <v>2.55068465</v>
      </c>
      <c r="I40" s="18" t="s">
        <v>349</v>
      </c>
      <c r="J40" s="20" t="s">
        <v>349</v>
      </c>
      <c r="K40" s="18" t="n">
        <v>0.28033166</v>
      </c>
      <c r="L40" s="20" t="n">
        <v>0.19766421</v>
      </c>
      <c r="M40" s="18" t="n">
        <v>0</v>
      </c>
      <c r="N40" s="20" t="n">
        <v>0</v>
      </c>
      <c r="O40" s="18" t="n">
        <v>0</v>
      </c>
      <c r="P40" s="20" t="n">
        <v>0</v>
      </c>
      <c r="Q40" s="18" t="n">
        <v>1.55863976</v>
      </c>
      <c r="R40" s="20" t="n">
        <v>0.6908488</v>
      </c>
    </row>
    <row r="41" spans="1:18">
      <c r="A41" s="15" t="s">
        <v>383</v>
      </c>
      <c r="B41" s="17" t="n">
        <v>2858</v>
      </c>
      <c r="C41" s="18">
        <f>(2477.0/B41*100)</f>
        <v/>
      </c>
      <c r="D41" s="19" t="n">
        <v>381</v>
      </c>
      <c r="E41" s="18" t="n">
        <v>67.49880082999999</v>
      </c>
      <c r="F41" s="20" t="n">
        <v>3.02405686</v>
      </c>
      <c r="G41" s="18" t="n">
        <v>32.14860311</v>
      </c>
      <c r="H41" s="20" t="n">
        <v>3.01044975</v>
      </c>
      <c r="I41" s="18" t="s">
        <v>349</v>
      </c>
      <c r="J41" s="20" t="s">
        <v>349</v>
      </c>
      <c r="K41" s="18" t="n">
        <v>0.20024532</v>
      </c>
      <c r="L41" s="20" t="n">
        <v>0.2084772</v>
      </c>
      <c r="M41" s="18" t="n">
        <v>0</v>
      </c>
      <c r="N41" s="20" t="n">
        <v>0</v>
      </c>
      <c r="O41" s="18" t="n">
        <v>0</v>
      </c>
      <c r="P41" s="20" t="n">
        <v>0</v>
      </c>
      <c r="Q41" s="18" t="n">
        <v>0.15235074</v>
      </c>
      <c r="R41" s="20" t="n">
        <v>0.1419708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(9782.0/B46*100)</f>
        <v/>
      </c>
      <c r="D46" s="19" t="n">
        <v>1286</v>
      </c>
      <c r="E46" s="18" t="n">
        <v>84.12247374</v>
      </c>
      <c r="F46" s="20" t="n">
        <v>1.37798343</v>
      </c>
      <c r="G46" s="18" t="n">
        <v>14.19182141</v>
      </c>
      <c r="H46" s="20" t="n">
        <v>1.31867018</v>
      </c>
      <c r="I46" s="18" t="s">
        <v>349</v>
      </c>
      <c r="J46" s="20" t="s">
        <v>349</v>
      </c>
      <c r="K46" s="18" t="n">
        <v>0.56261703</v>
      </c>
      <c r="L46" s="20" t="n">
        <v>0.37110456</v>
      </c>
      <c r="M46" s="18" t="n">
        <v>0</v>
      </c>
      <c r="N46" s="20" t="n">
        <v>0</v>
      </c>
      <c r="O46" s="18" t="n">
        <v>0</v>
      </c>
      <c r="P46" s="20" t="n">
        <v>0</v>
      </c>
      <c r="Q46" s="18" t="n">
        <v>1.12308782</v>
      </c>
      <c r="R46" s="20" t="n">
        <v>0.34868252</v>
      </c>
    </row>
    <row r="47" spans="1:18">
      <c r="A47" s="15" t="s">
        <v>389</v>
      </c>
      <c r="B47" s="17" t="n">
        <v>3105</v>
      </c>
      <c r="C47" s="18">
        <f>(2707.0/B47*100)</f>
        <v/>
      </c>
      <c r="D47" s="19" t="n">
        <v>398</v>
      </c>
      <c r="E47" s="18" t="n">
        <v>81.56147968000001</v>
      </c>
      <c r="F47" s="20" t="n">
        <v>2.2454682</v>
      </c>
      <c r="G47" s="18" t="n">
        <v>17.46483392</v>
      </c>
      <c r="H47" s="20" t="n">
        <v>2.20494569</v>
      </c>
      <c r="I47" s="18" t="s">
        <v>349</v>
      </c>
      <c r="J47" s="20" t="s">
        <v>349</v>
      </c>
      <c r="K47" s="18" t="n">
        <v>0.23610794</v>
      </c>
      <c r="L47" s="20" t="n">
        <v>0.23749765</v>
      </c>
      <c r="M47" s="18" t="n">
        <v>0</v>
      </c>
      <c r="N47" s="20" t="n">
        <v>0</v>
      </c>
      <c r="O47" s="18" t="n">
        <v>0</v>
      </c>
      <c r="P47" s="20" t="n">
        <v>0</v>
      </c>
      <c r="Q47" s="18" t="n">
        <v>0.73757846</v>
      </c>
      <c r="R47" s="20" t="n">
        <v>0.41785892</v>
      </c>
    </row>
    <row r="48" spans="1:18">
      <c r="A48" s="15" t="s">
        <v>390</v>
      </c>
      <c r="B48" s="17" t="n">
        <v>5159</v>
      </c>
      <c r="C48" s="18">
        <f>(4538.0/B48*100)</f>
        <v/>
      </c>
      <c r="D48" s="19" t="n">
        <v>621</v>
      </c>
      <c r="E48" s="18" t="n">
        <v>50.8392464</v>
      </c>
      <c r="F48" s="20" t="n">
        <v>2.79029135</v>
      </c>
      <c r="G48" s="18" t="n">
        <v>48.36203869</v>
      </c>
      <c r="H48" s="20" t="n">
        <v>2.79042573</v>
      </c>
      <c r="I48" s="18" t="s">
        <v>349</v>
      </c>
      <c r="J48" s="20" t="s">
        <v>349</v>
      </c>
      <c r="K48" s="18" t="n">
        <v>0.79246024</v>
      </c>
      <c r="L48" s="20" t="n">
        <v>0.47442023</v>
      </c>
      <c r="M48" s="18" t="n">
        <v>0</v>
      </c>
      <c r="N48" s="20" t="n">
        <v>0</v>
      </c>
      <c r="O48" s="18" t="n">
        <v>0</v>
      </c>
      <c r="P48" s="20" t="n">
        <v>0</v>
      </c>
      <c r="Q48" s="18" t="n">
        <v>0.00625467</v>
      </c>
      <c r="R48" s="20" t="n">
        <v>0.00420096</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(4951.0/B50*100)</f>
        <v/>
      </c>
      <c r="D50" s="19" t="n">
        <v>686</v>
      </c>
      <c r="E50" s="18" t="n">
        <v>89.84745712</v>
      </c>
      <c r="F50" s="20" t="n">
        <v>1.40957964</v>
      </c>
      <c r="G50" s="18" t="n">
        <v>9.23175094</v>
      </c>
      <c r="H50" s="20" t="n">
        <v>1.33095231</v>
      </c>
      <c r="I50" s="18" t="s">
        <v>349</v>
      </c>
      <c r="J50" s="20" t="s">
        <v>349</v>
      </c>
      <c r="K50" s="18" t="n">
        <v>0.91276939</v>
      </c>
      <c r="L50" s="20" t="n">
        <v>0.43888258</v>
      </c>
      <c r="M50" s="18" t="n">
        <v>0</v>
      </c>
      <c r="N50" s="20" t="n">
        <v>0</v>
      </c>
      <c r="O50" s="18" t="n">
        <v>0</v>
      </c>
      <c r="P50" s="20" t="n">
        <v>0</v>
      </c>
      <c r="Q50" s="18" t="n">
        <v>0.00802255</v>
      </c>
      <c r="R50" s="20" t="n">
        <v>0.008018519999999999</v>
      </c>
    </row>
    <row r="51" spans="1:18">
      <c r="A51" s="15" t="s">
        <v>393</v>
      </c>
      <c r="B51" s="17" t="n">
        <v>3372</v>
      </c>
      <c r="C51" s="18">
        <f>(2996.0/B51*100)</f>
        <v/>
      </c>
      <c r="D51" s="19" t="n">
        <v>376</v>
      </c>
      <c r="E51" s="18" t="n">
        <v>77.52666547</v>
      </c>
      <c r="F51" s="20" t="n">
        <v>2.25298933</v>
      </c>
      <c r="G51" s="18" t="n">
        <v>21.59938031</v>
      </c>
      <c r="H51" s="20" t="n">
        <v>2.24532278</v>
      </c>
      <c r="I51" s="18" t="s">
        <v>349</v>
      </c>
      <c r="J51" s="20" t="s">
        <v>349</v>
      </c>
      <c r="K51" s="18" t="n">
        <v>0.62185086</v>
      </c>
      <c r="L51" s="20" t="n">
        <v>0.44697556</v>
      </c>
      <c r="M51" s="18" t="n">
        <v>0</v>
      </c>
      <c r="N51" s="20" t="n">
        <v>0</v>
      </c>
      <c r="O51" s="18" t="n">
        <v>0</v>
      </c>
      <c r="P51" s="20" t="n">
        <v>0</v>
      </c>
      <c r="Q51" s="18" t="n">
        <v>0.25210336</v>
      </c>
      <c r="R51" s="20" t="n">
        <v>0.25232758</v>
      </c>
    </row>
    <row r="52" spans="1:18">
      <c r="A52" s="15" t="s">
        <v>394</v>
      </c>
      <c r="B52" s="17" t="n">
        <v>2796</v>
      </c>
      <c r="C52" s="18">
        <f>(2431.0/B52*100)</f>
        <v/>
      </c>
      <c r="D52" s="19" t="n">
        <v>365</v>
      </c>
      <c r="E52" s="18" t="n">
        <v>72.42825947</v>
      </c>
      <c r="F52" s="20" t="n">
        <v>2.73501487</v>
      </c>
      <c r="G52" s="18" t="n">
        <v>27.15435922</v>
      </c>
      <c r="H52" s="20" t="n">
        <v>2.72261076</v>
      </c>
      <c r="I52" s="18" t="s">
        <v>349</v>
      </c>
      <c r="J52" s="20" t="s">
        <v>349</v>
      </c>
      <c r="K52" s="18" t="n">
        <v>0.2076955</v>
      </c>
      <c r="L52" s="20" t="n">
        <v>0.20823056</v>
      </c>
      <c r="M52" s="18" t="n">
        <v>0</v>
      </c>
      <c r="N52" s="20" t="n">
        <v>0</v>
      </c>
      <c r="O52" s="18" t="n">
        <v>0</v>
      </c>
      <c r="P52" s="20" t="n">
        <v>0</v>
      </c>
      <c r="Q52" s="18" t="n">
        <v>0.20968581</v>
      </c>
      <c r="R52" s="20" t="n">
        <v>0.20032052</v>
      </c>
    </row>
    <row r="53" spans="1:18">
      <c r="A53" s="15" t="s">
        <v>395</v>
      </c>
      <c r="B53" s="17" t="n">
        <v>2811</v>
      </c>
      <c r="C53" s="18">
        <f>(2456.0/B53*100)</f>
        <v/>
      </c>
      <c r="D53" s="19" t="n">
        <v>355</v>
      </c>
      <c r="E53" s="18" t="n">
        <v>60.64625256</v>
      </c>
      <c r="F53" s="20" t="n">
        <v>3.1497464</v>
      </c>
      <c r="G53" s="18" t="n">
        <v>38.551175</v>
      </c>
      <c r="H53" s="20" t="n">
        <v>3.12401972</v>
      </c>
      <c r="I53" s="18" t="s">
        <v>349</v>
      </c>
      <c r="J53" s="20" t="s">
        <v>349</v>
      </c>
      <c r="K53" s="18" t="n">
        <v>0.19013366</v>
      </c>
      <c r="L53" s="20" t="n">
        <v>0.19005342</v>
      </c>
      <c r="M53" s="18" t="n">
        <v>0</v>
      </c>
      <c r="N53" s="20" t="n">
        <v>0</v>
      </c>
      <c r="O53" s="18" t="n">
        <v>0</v>
      </c>
      <c r="P53" s="20" t="n">
        <v>0</v>
      </c>
      <c r="Q53" s="18" t="n">
        <v>0.61243878</v>
      </c>
      <c r="R53" s="20" t="n">
        <v>0.35065138</v>
      </c>
    </row>
    <row r="54" spans="1:18">
      <c r="A54" s="15" t="s">
        <v>396</v>
      </c>
      <c r="B54" s="17" t="n">
        <v>2266</v>
      </c>
      <c r="C54" s="18">
        <f>(1906.0/B54*100)</f>
        <v/>
      </c>
      <c r="D54" s="19" t="n">
        <v>360</v>
      </c>
      <c r="E54" s="18" t="n">
        <v>83.69293915999999</v>
      </c>
      <c r="F54" s="20" t="n">
        <v>2.52357605</v>
      </c>
      <c r="G54" s="18" t="n">
        <v>7.3945651</v>
      </c>
      <c r="H54" s="20" t="n">
        <v>1.52047007</v>
      </c>
      <c r="I54" s="18" t="s">
        <v>349</v>
      </c>
      <c r="J54" s="20" t="s">
        <v>349</v>
      </c>
      <c r="K54" s="18" t="n">
        <v>6.1222281</v>
      </c>
      <c r="L54" s="20" t="n">
        <v>1.6365636</v>
      </c>
      <c r="M54" s="18" t="n">
        <v>0</v>
      </c>
      <c r="N54" s="20" t="n">
        <v>0</v>
      </c>
      <c r="O54" s="18" t="n">
        <v>0</v>
      </c>
      <c r="P54" s="20" t="n">
        <v>0</v>
      </c>
      <c r="Q54" s="18" t="n">
        <v>2.79026764</v>
      </c>
      <c r="R54" s="20" t="n">
        <v>1.5205469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(2355.0/B56*100)</f>
        <v/>
      </c>
      <c r="D56" s="19" t="n">
        <v>329</v>
      </c>
      <c r="E56" s="18" t="n">
        <v>45.43945189</v>
      </c>
      <c r="F56" s="20" t="n">
        <v>2.95600315</v>
      </c>
      <c r="G56" s="18" t="n">
        <v>54.10711105</v>
      </c>
      <c r="H56" s="20" t="n">
        <v>2.95469495</v>
      </c>
      <c r="I56" s="18" t="s">
        <v>349</v>
      </c>
      <c r="J56" s="20" t="s">
        <v>349</v>
      </c>
      <c r="K56" s="18" t="n">
        <v>0.2473352</v>
      </c>
      <c r="L56" s="20" t="n">
        <v>0.25223559</v>
      </c>
      <c r="M56" s="18" t="n">
        <v>0</v>
      </c>
      <c r="N56" s="20" t="n">
        <v>0</v>
      </c>
      <c r="O56" s="18" t="n">
        <v>0</v>
      </c>
      <c r="P56" s="20" t="n">
        <v>0</v>
      </c>
      <c r="Q56" s="18" t="n">
        <v>0.20610186</v>
      </c>
      <c r="R56" s="20" t="n">
        <v>0.20727455</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(2926.0/B61*100)</f>
        <v/>
      </c>
      <c r="D61" s="19" t="n">
        <v>398</v>
      </c>
      <c r="E61" s="18" t="n">
        <v>77.15634514</v>
      </c>
      <c r="F61" s="20" t="n">
        <v>2.28258869</v>
      </c>
      <c r="G61" s="18" t="n">
        <v>22.0239685</v>
      </c>
      <c r="H61" s="20" t="n">
        <v>2.28495005</v>
      </c>
      <c r="I61" s="18" t="s">
        <v>349</v>
      </c>
      <c r="J61" s="20" t="s">
        <v>349</v>
      </c>
      <c r="K61" s="18" t="n">
        <v>0</v>
      </c>
      <c r="L61" s="20" t="n">
        <v>0</v>
      </c>
      <c r="M61" s="18" t="n">
        <v>0</v>
      </c>
      <c r="N61" s="20" t="n">
        <v>0</v>
      </c>
      <c r="O61" s="18" t="n">
        <v>0</v>
      </c>
      <c r="P61" s="20" t="n">
        <v>0</v>
      </c>
      <c r="Q61" s="18" t="n">
        <v>0.81968637</v>
      </c>
      <c r="R61" s="20" t="n">
        <v>0.55675268</v>
      </c>
    </row>
    <row r="62" spans="1:18">
      <c r="A62" s="15" t="s">
        <v>404</v>
      </c>
      <c r="B62" s="17" t="n">
        <v>2246</v>
      </c>
      <c r="C62" s="18">
        <f>(1964.0/B62*100)</f>
        <v/>
      </c>
      <c r="D62" s="19" t="n">
        <v>282</v>
      </c>
      <c r="E62" s="18" t="n">
        <v>40.08612344</v>
      </c>
      <c r="F62" s="20" t="n">
        <v>3.13748662</v>
      </c>
      <c r="G62" s="18" t="n">
        <v>59.91387656</v>
      </c>
      <c r="H62" s="20" t="n">
        <v>3.13748662</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(2537.0/B66*100)</f>
        <v/>
      </c>
      <c r="D66" s="19" t="n">
        <v>357</v>
      </c>
      <c r="E66" s="18" t="n">
        <v>74.94480116</v>
      </c>
      <c r="F66" s="20" t="n">
        <v>2.27989419</v>
      </c>
      <c r="G66" s="18" t="n">
        <v>23.29271075</v>
      </c>
      <c r="H66" s="20" t="n">
        <v>2.19133409</v>
      </c>
      <c r="I66" s="18" t="s">
        <v>349</v>
      </c>
      <c r="J66" s="20" t="s">
        <v>349</v>
      </c>
      <c r="K66" s="18" t="n">
        <v>0.25136272</v>
      </c>
      <c r="L66" s="20" t="n">
        <v>0.25243883</v>
      </c>
      <c r="M66" s="18" t="n">
        <v>0</v>
      </c>
      <c r="N66" s="20" t="n">
        <v>0</v>
      </c>
      <c r="O66" s="18" t="n">
        <v>0</v>
      </c>
      <c r="P66" s="20" t="n">
        <v>0</v>
      </c>
      <c r="Q66" s="18" t="n">
        <v>1.51112538</v>
      </c>
      <c r="R66" s="20" t="n">
        <v>0.59476193</v>
      </c>
    </row>
    <row r="67" spans="1:18">
      <c r="A67" s="15" t="s">
        <v>409</v>
      </c>
      <c r="B67" s="17" t="n">
        <v>3511</v>
      </c>
      <c r="C67" s="18">
        <f>(3079.0/B67*100)</f>
        <v/>
      </c>
      <c r="D67" s="19" t="n">
        <v>432</v>
      </c>
      <c r="E67" s="18" t="n">
        <v>92.64588784999999</v>
      </c>
      <c r="F67" s="20" t="n">
        <v>1.18149455</v>
      </c>
      <c r="G67" s="18" t="n">
        <v>6.75063981</v>
      </c>
      <c r="H67" s="20" t="n">
        <v>1.12598435</v>
      </c>
      <c r="I67" s="18" t="s">
        <v>349</v>
      </c>
      <c r="J67" s="20" t="s">
        <v>349</v>
      </c>
      <c r="K67" s="18" t="n">
        <v>0.1838982</v>
      </c>
      <c r="L67" s="20" t="n">
        <v>0.18916186</v>
      </c>
      <c r="M67" s="18" t="n">
        <v>0</v>
      </c>
      <c r="N67" s="20" t="n">
        <v>0</v>
      </c>
      <c r="O67" s="18" t="n">
        <v>0</v>
      </c>
      <c r="P67" s="20" t="n">
        <v>0</v>
      </c>
      <c r="Q67" s="18" t="n">
        <v>0.41957414</v>
      </c>
      <c r="R67" s="20" t="n">
        <v>0.29811195</v>
      </c>
    </row>
    <row r="68" spans="1:18">
      <c r="A68" s="15" t="s">
        <v>410</v>
      </c>
      <c r="B68" s="17" t="n">
        <v>6049</v>
      </c>
      <c r="C68" s="18">
        <f>(5056.0/B68*100)</f>
        <v/>
      </c>
      <c r="D68" s="19" t="n">
        <v>993</v>
      </c>
      <c r="E68" s="18" t="n">
        <v>85.17359901</v>
      </c>
      <c r="F68" s="20" t="n">
        <v>1.12914143</v>
      </c>
      <c r="G68" s="18" t="n">
        <v>11.55044047</v>
      </c>
      <c r="H68" s="20" t="n">
        <v>1.0104062</v>
      </c>
      <c r="I68" s="18" t="s">
        <v>349</v>
      </c>
      <c r="J68" s="20" t="s">
        <v>349</v>
      </c>
      <c r="K68" s="18" t="n">
        <v>1.98401264</v>
      </c>
      <c r="L68" s="20" t="n">
        <v>0.40865493</v>
      </c>
      <c r="M68" s="18" t="n">
        <v>0</v>
      </c>
      <c r="N68" s="20" t="n">
        <v>0</v>
      </c>
      <c r="O68" s="18" t="n">
        <v>0</v>
      </c>
      <c r="P68" s="20" t="n">
        <v>0</v>
      </c>
      <c r="Q68" s="18" t="n">
        <v>1.29194788</v>
      </c>
      <c r="R68" s="20" t="n">
        <v>0.35650328</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(2544.0/B70*100)</f>
        <v/>
      </c>
      <c r="D70" s="19" t="n">
        <v>385</v>
      </c>
      <c r="E70" s="18" t="n">
        <v>83.58218076999999</v>
      </c>
      <c r="F70" s="20" t="n">
        <v>2.24578086</v>
      </c>
      <c r="G70" s="18" t="n">
        <v>16.022137</v>
      </c>
      <c r="H70" s="20" t="n">
        <v>2.17359482</v>
      </c>
      <c r="I70" s="18" t="s">
        <v>349</v>
      </c>
      <c r="J70" s="20" t="s">
        <v>349</v>
      </c>
      <c r="K70" s="18" t="n">
        <v>0</v>
      </c>
      <c r="L70" s="20" t="n">
        <v>0</v>
      </c>
      <c r="M70" s="18" t="n">
        <v>0</v>
      </c>
      <c r="N70" s="20" t="n">
        <v>0</v>
      </c>
      <c r="O70" s="18" t="n">
        <v>0</v>
      </c>
      <c r="P70" s="20" t="n">
        <v>0</v>
      </c>
      <c r="Q70" s="18" t="n">
        <v>0.39568223</v>
      </c>
      <c r="R70" s="20" t="n">
        <v>0.24130397</v>
      </c>
    </row>
    <row r="71" spans="1:18">
      <c r="A71" s="15" t="s">
        <v>413</v>
      </c>
      <c r="B71" s="17" t="n">
        <v>3142</v>
      </c>
      <c r="C71" s="18">
        <f>(2744.0/B71*100)</f>
        <v/>
      </c>
      <c r="D71" s="19" t="n">
        <v>398</v>
      </c>
      <c r="E71" s="18" t="n">
        <v>52.33591968</v>
      </c>
      <c r="F71" s="20" t="n">
        <v>2.75049568</v>
      </c>
      <c r="G71" s="18" t="n">
        <v>47.12695507</v>
      </c>
      <c r="H71" s="20" t="n">
        <v>2.73209496</v>
      </c>
      <c r="I71" s="18" t="s">
        <v>349</v>
      </c>
      <c r="J71" s="20" t="s">
        <v>349</v>
      </c>
      <c r="K71" s="18" t="n">
        <v>0.29650894</v>
      </c>
      <c r="L71" s="20" t="n">
        <v>0.29606956</v>
      </c>
      <c r="M71" s="18" t="n">
        <v>0</v>
      </c>
      <c r="N71" s="20" t="n">
        <v>0</v>
      </c>
      <c r="O71" s="18" t="n">
        <v>0</v>
      </c>
      <c r="P71" s="20" t="n">
        <v>0</v>
      </c>
      <c r="Q71" s="18" t="n">
        <v>0.24061631</v>
      </c>
      <c r="R71" s="20" t="n">
        <v>0.23799413</v>
      </c>
    </row>
    <row r="72" spans="1:18">
      <c r="A72" s="15" t="s">
        <v>414</v>
      </c>
      <c r="B72" s="17" t="n">
        <v>3889</v>
      </c>
      <c r="C72" s="18">
        <f>(3400.0/B72*100)</f>
        <v/>
      </c>
      <c r="D72" s="19" t="n">
        <v>489</v>
      </c>
      <c r="E72" s="18" t="n">
        <v>54.03538845</v>
      </c>
      <c r="F72" s="20" t="n">
        <v>2.36833115</v>
      </c>
      <c r="G72" s="18" t="n">
        <v>45.76504685</v>
      </c>
      <c r="H72" s="20" t="n">
        <v>2.37622662</v>
      </c>
      <c r="I72" s="18" t="s">
        <v>349</v>
      </c>
      <c r="J72" s="20" t="s">
        <v>349</v>
      </c>
      <c r="K72" s="18" t="n">
        <v>0</v>
      </c>
      <c r="L72" s="20" t="n">
        <v>0</v>
      </c>
      <c r="M72" s="18" t="n">
        <v>0</v>
      </c>
      <c r="N72" s="20" t="n">
        <v>0</v>
      </c>
      <c r="O72" s="18" t="n">
        <v>0</v>
      </c>
      <c r="P72" s="20" t="n">
        <v>0</v>
      </c>
      <c r="Q72" s="18" t="n">
        <v>0.1995647</v>
      </c>
      <c r="R72" s="20" t="n">
        <v>0.19860189</v>
      </c>
    </row>
    <row r="73" spans="1:18">
      <c r="A73" s="15" t="s">
        <v>415</v>
      </c>
      <c r="B73" s="17" t="n">
        <v>3597</v>
      </c>
      <c r="C73" s="18">
        <f>(3166.0/B73*100)</f>
        <v/>
      </c>
      <c r="D73" s="19" t="n">
        <v>431</v>
      </c>
      <c r="E73" s="18" t="n">
        <v>76.75102468999999</v>
      </c>
      <c r="F73" s="20" t="n">
        <v>2.26569532</v>
      </c>
      <c r="G73" s="18" t="n">
        <v>22.86185295</v>
      </c>
      <c r="H73" s="20" t="n">
        <v>2.21883978</v>
      </c>
      <c r="I73" s="18" t="s">
        <v>349</v>
      </c>
      <c r="J73" s="20" t="s">
        <v>349</v>
      </c>
      <c r="K73" s="18" t="n">
        <v>0</v>
      </c>
      <c r="L73" s="20" t="n">
        <v>0</v>
      </c>
      <c r="M73" s="18" t="n">
        <v>0</v>
      </c>
      <c r="N73" s="20" t="n">
        <v>0</v>
      </c>
      <c r="O73" s="18" t="n">
        <v>0</v>
      </c>
      <c r="P73" s="20" t="n">
        <v>0</v>
      </c>
      <c r="Q73" s="18" t="n">
        <v>0.38712236</v>
      </c>
      <c r="R73" s="20" t="n">
        <v>0.35984952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(2140.0/B75*100)</f>
        <v/>
      </c>
      <c r="D75" s="19" t="n">
        <v>266</v>
      </c>
      <c r="E75" s="18" t="n">
        <v>91.08328011</v>
      </c>
      <c r="F75" s="20" t="n">
        <v>1.92911313</v>
      </c>
      <c r="G75" s="18" t="n">
        <v>6.67534561</v>
      </c>
      <c r="H75" s="20" t="n">
        <v>1.69095235</v>
      </c>
      <c r="I75" s="18" t="s">
        <v>349</v>
      </c>
      <c r="J75" s="20" t="s">
        <v>349</v>
      </c>
      <c r="K75" s="18" t="n">
        <v>1.32625075</v>
      </c>
      <c r="L75" s="20" t="n">
        <v>0.81900747</v>
      </c>
      <c r="M75" s="18" t="n">
        <v>0</v>
      </c>
      <c r="N75" s="20" t="n">
        <v>0</v>
      </c>
      <c r="O75" s="18" t="n">
        <v>0</v>
      </c>
      <c r="P75" s="20" t="n">
        <v>0</v>
      </c>
      <c r="Q75" s="18" t="n">
        <v>0.91512352</v>
      </c>
      <c r="R75" s="20" t="n">
        <v>0.49605712</v>
      </c>
    </row>
    <row r="76" spans="1:18">
      <c r="A76" s="15" t="s">
        <v>418</v>
      </c>
      <c r="B76" s="17" t="n">
        <v>7052</v>
      </c>
      <c r="C76" s="18">
        <f>(6198.0/B76*100)</f>
        <v/>
      </c>
      <c r="D76" s="19" t="n">
        <v>854</v>
      </c>
      <c r="E76" s="18" t="n">
        <v>82.57821829</v>
      </c>
      <c r="F76" s="20" t="n">
        <v>1.88636659</v>
      </c>
      <c r="G76" s="18" t="n">
        <v>15.7435986</v>
      </c>
      <c r="H76" s="20" t="n">
        <v>1.88839617</v>
      </c>
      <c r="I76" s="18" t="s">
        <v>349</v>
      </c>
      <c r="J76" s="20" t="s">
        <v>349</v>
      </c>
      <c r="K76" s="18" t="n">
        <v>0.6609885599999999</v>
      </c>
      <c r="L76" s="20" t="n">
        <v>0.34566273</v>
      </c>
      <c r="M76" s="18" t="n">
        <v>0</v>
      </c>
      <c r="N76" s="20" t="n">
        <v>0</v>
      </c>
      <c r="O76" s="18" t="n">
        <v>0</v>
      </c>
      <c r="P76" s="20" t="n">
        <v>0</v>
      </c>
      <c r="Q76" s="18" t="n">
        <v>1.01719455</v>
      </c>
      <c r="R76" s="20" t="n">
        <v>0.38192092</v>
      </c>
    </row>
    <row r="77" spans="1:18">
      <c r="A77" s="15" t="s">
        <v>419</v>
      </c>
      <c r="B77" s="17" t="n">
        <v>2908</v>
      </c>
      <c r="C77" s="18">
        <f>(2556.0/B77*100)</f>
        <v/>
      </c>
      <c r="D77" s="19" t="n">
        <v>352</v>
      </c>
      <c r="E77" s="18" t="n">
        <v>76.15527742</v>
      </c>
      <c r="F77" s="20" t="n">
        <v>2.07689099</v>
      </c>
      <c r="G77" s="18" t="n">
        <v>22.24681965</v>
      </c>
      <c r="H77" s="20" t="n">
        <v>2.12142023</v>
      </c>
      <c r="I77" s="18" t="s">
        <v>349</v>
      </c>
      <c r="J77" s="20" t="s">
        <v>349</v>
      </c>
      <c r="K77" s="18" t="n">
        <v>0.24474538</v>
      </c>
      <c r="L77" s="20" t="n">
        <v>0.26126933</v>
      </c>
      <c r="M77" s="18" t="n">
        <v>0</v>
      </c>
      <c r="N77" s="20" t="n">
        <v>0</v>
      </c>
      <c r="O77" s="18" t="n">
        <v>0</v>
      </c>
      <c r="P77" s="20" t="n">
        <v>0</v>
      </c>
      <c r="Q77" s="18" t="n">
        <v>1.35315755</v>
      </c>
      <c r="R77" s="20" t="n">
        <v>0.66008215</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(3641.0/B81*100)</f>
        <v/>
      </c>
      <c r="D81" s="19" t="n">
        <v>522</v>
      </c>
      <c r="E81" s="18" t="n">
        <v>96.5577215</v>
      </c>
      <c r="F81" s="20" t="n">
        <v>0.89703795</v>
      </c>
      <c r="G81" s="18" t="n">
        <v>3.4422785</v>
      </c>
      <c r="H81" s="20" t="n">
        <v>0.89703795</v>
      </c>
      <c r="I81" s="18" t="s">
        <v>349</v>
      </c>
      <c r="J81" s="20" t="s">
        <v>349</v>
      </c>
      <c r="K81" s="18" t="n">
        <v>0</v>
      </c>
      <c r="L81" s="20" t="n">
        <v>0</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(6439.0/B7*100)</f>
        <v/>
      </c>
      <c r="D7" s="19" t="n">
        <v>928</v>
      </c>
      <c r="E7" s="18" t="n">
        <v>36.9021469</v>
      </c>
      <c r="F7" s="20" t="n">
        <v>1.94787374</v>
      </c>
      <c r="G7" s="18" t="n">
        <v>62.12514256</v>
      </c>
      <c r="H7" s="20" t="n">
        <v>1.95408344</v>
      </c>
      <c r="I7" s="18" t="s">
        <v>349</v>
      </c>
      <c r="J7" s="20" t="s">
        <v>349</v>
      </c>
      <c r="K7" s="18" t="n">
        <v>0.43038929</v>
      </c>
      <c r="L7" s="20" t="n">
        <v>0.26608279</v>
      </c>
      <c r="M7" s="18" t="n">
        <v>0</v>
      </c>
      <c r="N7" s="20" t="n">
        <v>0</v>
      </c>
      <c r="O7" s="18" t="n">
        <v>0</v>
      </c>
      <c r="P7" s="20" t="n">
        <v>0</v>
      </c>
      <c r="Q7" s="18" t="n">
        <v>0.54232125</v>
      </c>
      <c r="R7" s="20" t="n">
        <v>0.28855949</v>
      </c>
    </row>
    <row r="8" spans="1:18">
      <c r="A8" s="15" t="s">
        <v>350</v>
      </c>
      <c r="B8" s="17" t="n">
        <v>3564</v>
      </c>
      <c r="C8" s="18">
        <f>(3125.0/B8*100)</f>
        <v/>
      </c>
      <c r="D8" s="19" t="n">
        <v>439</v>
      </c>
      <c r="E8" s="18" t="n">
        <v>45.98389149</v>
      </c>
      <c r="F8" s="20" t="n">
        <v>3.12474844</v>
      </c>
      <c r="G8" s="18" t="n">
        <v>53.4716968</v>
      </c>
      <c r="H8" s="20" t="n">
        <v>3.117304</v>
      </c>
      <c r="I8" s="18" t="s">
        <v>349</v>
      </c>
      <c r="J8" s="20" t="s">
        <v>349</v>
      </c>
      <c r="K8" s="18" t="n">
        <v>0</v>
      </c>
      <c r="L8" s="20" t="n">
        <v>0</v>
      </c>
      <c r="M8" s="18" t="n">
        <v>0</v>
      </c>
      <c r="N8" s="20" t="n">
        <v>0</v>
      </c>
      <c r="O8" s="18" t="n">
        <v>0</v>
      </c>
      <c r="P8" s="20" t="n">
        <v>0</v>
      </c>
      <c r="Q8" s="18" t="n">
        <v>0.54441171</v>
      </c>
      <c r="R8" s="20" t="n">
        <v>0.3299845</v>
      </c>
    </row>
    <row r="9" spans="1:18">
      <c r="A9" s="15" t="s">
        <v>351</v>
      </c>
      <c r="B9" s="17" t="n">
        <v>4899</v>
      </c>
      <c r="C9" s="18">
        <f>(4332.0/B9*100)</f>
        <v/>
      </c>
      <c r="D9" s="19" t="n">
        <v>567</v>
      </c>
      <c r="E9" s="18" t="n">
        <v>47.9853908</v>
      </c>
      <c r="F9" s="20" t="n">
        <v>2.04077597</v>
      </c>
      <c r="G9" s="18" t="n">
        <v>51.40414502</v>
      </c>
      <c r="H9" s="20" t="n">
        <v>2.05259243</v>
      </c>
      <c r="I9" s="18" t="s">
        <v>349</v>
      </c>
      <c r="J9" s="20" t="s">
        <v>349</v>
      </c>
      <c r="K9" s="18" t="n">
        <v>0.24761675</v>
      </c>
      <c r="L9" s="20" t="n">
        <v>0.24756536</v>
      </c>
      <c r="M9" s="18" t="n">
        <v>0</v>
      </c>
      <c r="N9" s="20" t="n">
        <v>0</v>
      </c>
      <c r="O9" s="18" t="n">
        <v>0</v>
      </c>
      <c r="P9" s="20" t="n">
        <v>0</v>
      </c>
      <c r="Q9" s="18" t="n">
        <v>0.36284744</v>
      </c>
      <c r="R9" s="20" t="n">
        <v>0.25937973</v>
      </c>
    </row>
    <row r="10" spans="1:18">
      <c r="A10" s="15" t="s">
        <v>352</v>
      </c>
      <c r="B10" s="17" t="n">
        <v>10036</v>
      </c>
      <c r="C10" s="18">
        <f>(8821.0/B10*100)</f>
        <v/>
      </c>
      <c r="D10" s="19" t="n">
        <v>1215</v>
      </c>
      <c r="E10" s="18" t="n">
        <v>32.88488049</v>
      </c>
      <c r="F10" s="20" t="n">
        <v>1.88744773</v>
      </c>
      <c r="G10" s="18" t="n">
        <v>66.23378493</v>
      </c>
      <c r="H10" s="20" t="n">
        <v>1.90702113</v>
      </c>
      <c r="I10" s="18" t="s">
        <v>349</v>
      </c>
      <c r="J10" s="20" t="s">
        <v>349</v>
      </c>
      <c r="K10" s="18" t="n">
        <v>0.31877299</v>
      </c>
      <c r="L10" s="20" t="n">
        <v>0.17315051</v>
      </c>
      <c r="M10" s="18" t="n">
        <v>0</v>
      </c>
      <c r="N10" s="20" t="n">
        <v>0</v>
      </c>
      <c r="O10" s="18" t="n">
        <v>0</v>
      </c>
      <c r="P10" s="20" t="n">
        <v>0</v>
      </c>
      <c r="Q10" s="18" t="n">
        <v>0.56256158</v>
      </c>
      <c r="R10" s="20" t="n">
        <v>0.40460516</v>
      </c>
    </row>
    <row r="11" spans="1:18">
      <c r="A11" s="15" t="s">
        <v>353</v>
      </c>
      <c r="B11" s="17" t="n">
        <v>3553</v>
      </c>
      <c r="C11" s="18">
        <f>(3132.0/B11*100)</f>
        <v/>
      </c>
      <c r="D11" s="19" t="n">
        <v>421</v>
      </c>
      <c r="E11" s="18" t="n">
        <v>58.13163962</v>
      </c>
      <c r="F11" s="20" t="n">
        <v>2.42797192</v>
      </c>
      <c r="G11" s="18" t="n">
        <v>41.26263711</v>
      </c>
      <c r="H11" s="20" t="n">
        <v>2.47923325</v>
      </c>
      <c r="I11" s="18" t="s">
        <v>349</v>
      </c>
      <c r="J11" s="20" t="s">
        <v>349</v>
      </c>
      <c r="K11" s="18" t="n">
        <v>0.39672231</v>
      </c>
      <c r="L11" s="20" t="n">
        <v>0.32378132</v>
      </c>
      <c r="M11" s="18" t="n">
        <v>0</v>
      </c>
      <c r="N11" s="20" t="n">
        <v>0</v>
      </c>
      <c r="O11" s="18" t="n">
        <v>0</v>
      </c>
      <c r="P11" s="20" t="n">
        <v>0</v>
      </c>
      <c r="Q11" s="18" t="n">
        <v>0.20900097</v>
      </c>
      <c r="R11" s="20" t="n">
        <v>0.20793843</v>
      </c>
    </row>
    <row r="12" spans="1:18">
      <c r="A12" s="15" t="s">
        <v>354</v>
      </c>
      <c r="B12" s="17" t="n">
        <v>3472</v>
      </c>
      <c r="C12" s="18">
        <f>(3051.0/B12*100)</f>
        <v/>
      </c>
      <c r="D12" s="19" t="n">
        <v>421</v>
      </c>
      <c r="E12" s="18" t="n">
        <v>48.58945434</v>
      </c>
      <c r="F12" s="20" t="n">
        <v>2.6780713</v>
      </c>
      <c r="G12" s="18" t="n">
        <v>51.17321639</v>
      </c>
      <c r="H12" s="20" t="n">
        <v>2.69221467</v>
      </c>
      <c r="I12" s="18" t="s">
        <v>349</v>
      </c>
      <c r="J12" s="20" t="s">
        <v>349</v>
      </c>
      <c r="K12" s="18" t="n">
        <v>0</v>
      </c>
      <c r="L12" s="20" t="n">
        <v>0</v>
      </c>
      <c r="M12" s="18" t="n">
        <v>0</v>
      </c>
      <c r="N12" s="20" t="n">
        <v>0</v>
      </c>
      <c r="O12" s="18" t="n">
        <v>0</v>
      </c>
      <c r="P12" s="20" t="n">
        <v>0</v>
      </c>
      <c r="Q12" s="18" t="n">
        <v>0.23732927</v>
      </c>
      <c r="R12" s="20" t="n">
        <v>0.23502108</v>
      </c>
    </row>
    <row r="13" spans="1:18">
      <c r="A13" s="15" t="s">
        <v>355</v>
      </c>
      <c r="B13" s="17" t="n">
        <v>3559</v>
      </c>
      <c r="C13" s="18">
        <f>(3137.0/B13*100)</f>
        <v/>
      </c>
      <c r="D13" s="19" t="n">
        <v>422</v>
      </c>
      <c r="E13" s="18" t="n">
        <v>29.13002017</v>
      </c>
      <c r="F13" s="20" t="n">
        <v>2.59945844</v>
      </c>
      <c r="G13" s="18" t="n">
        <v>69.08998798</v>
      </c>
      <c r="H13" s="20" t="n">
        <v>2.75123296</v>
      </c>
      <c r="I13" s="18" t="s">
        <v>349</v>
      </c>
      <c r="J13" s="20" t="s">
        <v>349</v>
      </c>
      <c r="K13" s="18" t="n">
        <v>0.55431659</v>
      </c>
      <c r="L13" s="20" t="n">
        <v>0.56209821</v>
      </c>
      <c r="M13" s="18" t="n">
        <v>0</v>
      </c>
      <c r="N13" s="20" t="n">
        <v>0</v>
      </c>
      <c r="O13" s="18" t="n">
        <v>0</v>
      </c>
      <c r="P13" s="20" t="n">
        <v>0</v>
      </c>
      <c r="Q13" s="18" t="n">
        <v>1.22567526</v>
      </c>
      <c r="R13" s="20" t="n">
        <v>0.61704557</v>
      </c>
    </row>
    <row r="14" spans="1:18">
      <c r="A14" s="15" t="s">
        <v>356</v>
      </c>
      <c r="B14" s="17" t="n">
        <v>2799</v>
      </c>
      <c r="C14" s="18">
        <f>(2474.0/B14*100)</f>
        <v/>
      </c>
      <c r="D14" s="19" t="n">
        <v>325</v>
      </c>
      <c r="E14" s="18" t="n">
        <v>46.57374859</v>
      </c>
      <c r="F14" s="20" t="n">
        <v>3.05418162</v>
      </c>
      <c r="G14" s="18" t="n">
        <v>53.16867731</v>
      </c>
      <c r="H14" s="20" t="n">
        <v>3.0528323</v>
      </c>
      <c r="I14" s="18" t="s">
        <v>349</v>
      </c>
      <c r="J14" s="20" t="s">
        <v>349</v>
      </c>
      <c r="K14" s="18" t="n">
        <v>0</v>
      </c>
      <c r="L14" s="20" t="n">
        <v>0</v>
      </c>
      <c r="M14" s="18" t="n">
        <v>0</v>
      </c>
      <c r="N14" s="20" t="n">
        <v>0</v>
      </c>
      <c r="O14" s="18" t="n">
        <v>0</v>
      </c>
      <c r="P14" s="20" t="n">
        <v>0</v>
      </c>
      <c r="Q14" s="18" t="n">
        <v>0.2575741</v>
      </c>
      <c r="R14" s="20" t="n">
        <v>0.25882218</v>
      </c>
    </row>
    <row r="15" spans="1:18">
      <c r="A15" s="15" t="s">
        <v>357</v>
      </c>
      <c r="B15" s="17" t="n">
        <v>3019</v>
      </c>
      <c r="C15" s="18">
        <f>(2649.0/B15*100)</f>
        <v/>
      </c>
      <c r="D15" s="19" t="n">
        <v>370</v>
      </c>
      <c r="E15" s="18" t="n">
        <v>45.40221301</v>
      </c>
      <c r="F15" s="20" t="n">
        <v>2.86857996</v>
      </c>
      <c r="G15" s="18" t="n">
        <v>54.59778699</v>
      </c>
      <c r="H15" s="20" t="n">
        <v>2.86857996</v>
      </c>
      <c r="I15" s="18" t="s">
        <v>349</v>
      </c>
      <c r="J15" s="20" t="s">
        <v>349</v>
      </c>
      <c r="K15" s="18" t="n">
        <v>0</v>
      </c>
      <c r="L15" s="20" t="n">
        <v>0</v>
      </c>
      <c r="M15" s="18" t="n">
        <v>0</v>
      </c>
      <c r="N15" s="20" t="n">
        <v>0</v>
      </c>
      <c r="O15" s="18" t="n">
        <v>0</v>
      </c>
      <c r="P15" s="20" t="n">
        <v>0</v>
      </c>
      <c r="Q15" s="18" t="n">
        <v>0</v>
      </c>
      <c r="R15" s="20" t="n">
        <v>0</v>
      </c>
    </row>
    <row r="16" spans="1:18">
      <c r="A16" s="15" t="s">
        <v>358</v>
      </c>
      <c r="B16" s="17" t="n">
        <v>2997</v>
      </c>
      <c r="C16" s="18">
        <f>(2638.0/B16*100)</f>
        <v/>
      </c>
      <c r="D16" s="19" t="n">
        <v>359</v>
      </c>
      <c r="E16" s="18" t="n">
        <v>47.58649998</v>
      </c>
      <c r="F16" s="20" t="n">
        <v>2.39149801</v>
      </c>
      <c r="G16" s="18" t="n">
        <v>50.99927609</v>
      </c>
      <c r="H16" s="20" t="n">
        <v>2.35525957</v>
      </c>
      <c r="I16" s="18" t="s">
        <v>349</v>
      </c>
      <c r="J16" s="20" t="s">
        <v>349</v>
      </c>
      <c r="K16" s="18" t="n">
        <v>0.27616308</v>
      </c>
      <c r="L16" s="20" t="n">
        <v>0.34041007</v>
      </c>
      <c r="M16" s="18" t="n">
        <v>0</v>
      </c>
      <c r="N16" s="20" t="n">
        <v>0</v>
      </c>
      <c r="O16" s="18" t="n">
        <v>0</v>
      </c>
      <c r="P16" s="20" t="n">
        <v>0</v>
      </c>
      <c r="Q16" s="18" t="n">
        <v>1.13806085</v>
      </c>
      <c r="R16" s="20" t="n">
        <v>0.31066192</v>
      </c>
    </row>
    <row r="17" spans="1:18">
      <c r="A17" s="15" t="s">
        <v>359</v>
      </c>
      <c r="B17" s="17" t="n">
        <v>3307</v>
      </c>
      <c r="C17" s="18">
        <f>(2890.0/B17*100)</f>
        <v/>
      </c>
      <c r="D17" s="19" t="n">
        <v>417</v>
      </c>
      <c r="E17" s="18" t="n">
        <v>45.12861316</v>
      </c>
      <c r="F17" s="20" t="n">
        <v>2.33304845</v>
      </c>
      <c r="G17" s="18" t="n">
        <v>53.95983473</v>
      </c>
      <c r="H17" s="20" t="n">
        <v>2.33970135</v>
      </c>
      <c r="I17" s="18" t="s">
        <v>349</v>
      </c>
      <c r="J17" s="20" t="s">
        <v>349</v>
      </c>
      <c r="K17" s="18" t="n">
        <v>0.42275412</v>
      </c>
      <c r="L17" s="20" t="n">
        <v>0.30867736</v>
      </c>
      <c r="M17" s="18" t="n">
        <v>0</v>
      </c>
      <c r="N17" s="20" t="n">
        <v>0</v>
      </c>
      <c r="O17" s="18" t="n">
        <v>0</v>
      </c>
      <c r="P17" s="20" t="n">
        <v>0</v>
      </c>
      <c r="Q17" s="18" t="n">
        <v>0.48879799</v>
      </c>
      <c r="R17" s="20" t="n">
        <v>0.35615827</v>
      </c>
    </row>
    <row r="18" spans="1:18">
      <c r="A18" s="15" t="s">
        <v>360</v>
      </c>
      <c r="B18" s="17" t="n">
        <v>2826</v>
      </c>
      <c r="C18" s="18">
        <f>(2485.0/B18*100)</f>
        <v/>
      </c>
      <c r="D18" s="19" t="n">
        <v>341</v>
      </c>
      <c r="E18" s="18" t="n">
        <v>56.54405022</v>
      </c>
      <c r="F18" s="20" t="n">
        <v>2.68281068</v>
      </c>
      <c r="G18" s="18" t="n">
        <v>43.45594978</v>
      </c>
      <c r="H18" s="20" t="n">
        <v>2.68281068</v>
      </c>
      <c r="I18" s="18" t="s">
        <v>349</v>
      </c>
      <c r="J18" s="20" t="s">
        <v>349</v>
      </c>
      <c r="K18" s="18" t="n">
        <v>0</v>
      </c>
      <c r="L18" s="20" t="n">
        <v>0</v>
      </c>
      <c r="M18" s="18" t="n">
        <v>0</v>
      </c>
      <c r="N18" s="20" t="n">
        <v>0</v>
      </c>
      <c r="O18" s="18" t="n">
        <v>0</v>
      </c>
      <c r="P18" s="20" t="n">
        <v>0</v>
      </c>
      <c r="Q18" s="18" t="n">
        <v>0</v>
      </c>
      <c r="R18" s="20" t="n">
        <v>0</v>
      </c>
    </row>
    <row r="19" spans="1:18">
      <c r="A19" s="15" t="s">
        <v>361</v>
      </c>
      <c r="B19" s="17" t="n">
        <v>2808</v>
      </c>
      <c r="C19" s="18">
        <f>(2459.0/B19*100)</f>
        <v/>
      </c>
      <c r="D19" s="19" t="n">
        <v>349</v>
      </c>
      <c r="E19" s="18" t="n">
        <v>48.77904058</v>
      </c>
      <c r="F19" s="20" t="n">
        <v>3.04025979</v>
      </c>
      <c r="G19" s="18" t="n">
        <v>51.22095942</v>
      </c>
      <c r="H19" s="20" t="n">
        <v>3.04025979</v>
      </c>
      <c r="I19" s="18" t="s">
        <v>349</v>
      </c>
      <c r="J19" s="20" t="s">
        <v>349</v>
      </c>
      <c r="K19" s="18" t="n">
        <v>0</v>
      </c>
      <c r="L19" s="20" t="n">
        <v>0</v>
      </c>
      <c r="M19" s="18" t="n">
        <v>0</v>
      </c>
      <c r="N19" s="20" t="n">
        <v>0</v>
      </c>
      <c r="O19" s="18" t="n">
        <v>0</v>
      </c>
      <c r="P19" s="20" t="n">
        <v>0</v>
      </c>
      <c r="Q19" s="18" t="n">
        <v>0</v>
      </c>
      <c r="R19" s="20" t="n">
        <v>0</v>
      </c>
    </row>
    <row r="20" spans="1:18">
      <c r="A20" s="15" t="s">
        <v>362</v>
      </c>
      <c r="B20" s="17" t="n">
        <v>1630</v>
      </c>
      <c r="C20" s="18">
        <f>(1432.0/B20*100)</f>
        <v/>
      </c>
      <c r="D20" s="19" t="n">
        <v>198</v>
      </c>
      <c r="E20" s="18" t="n">
        <v>57.53051244</v>
      </c>
      <c r="F20" s="20" t="n">
        <v>3.53867661</v>
      </c>
      <c r="G20" s="18" t="n">
        <v>41.42146824</v>
      </c>
      <c r="H20" s="20" t="n">
        <v>3.43875173</v>
      </c>
      <c r="I20" s="18" t="s">
        <v>349</v>
      </c>
      <c r="J20" s="20" t="s">
        <v>349</v>
      </c>
      <c r="K20" s="18" t="n">
        <v>0</v>
      </c>
      <c r="L20" s="20" t="n">
        <v>0</v>
      </c>
      <c r="M20" s="18" t="n">
        <v>0</v>
      </c>
      <c r="N20" s="20" t="n">
        <v>0</v>
      </c>
      <c r="O20" s="18" t="n">
        <v>0</v>
      </c>
      <c r="P20" s="20" t="n">
        <v>0</v>
      </c>
      <c r="Q20" s="18" t="n">
        <v>1.04801931</v>
      </c>
      <c r="R20" s="20" t="n">
        <v>0.73188209</v>
      </c>
    </row>
    <row r="21" spans="1:18">
      <c r="A21" s="15" t="s">
        <v>363</v>
      </c>
      <c r="B21" s="17" t="n">
        <v>2908</v>
      </c>
      <c r="C21" s="18">
        <f>(2413.0/B21*100)</f>
        <v/>
      </c>
      <c r="D21" s="19" t="n">
        <v>495</v>
      </c>
      <c r="E21" s="18" t="n">
        <v>34.61346589</v>
      </c>
      <c r="F21" s="20" t="n">
        <v>2.29124125</v>
      </c>
      <c r="G21" s="18" t="n">
        <v>65.19740037</v>
      </c>
      <c r="H21" s="20" t="n">
        <v>2.32193555</v>
      </c>
      <c r="I21" s="18" t="s">
        <v>349</v>
      </c>
      <c r="J21" s="20" t="s">
        <v>349</v>
      </c>
      <c r="K21" s="18" t="n">
        <v>0.18913373</v>
      </c>
      <c r="L21" s="20" t="n">
        <v>0.18853547</v>
      </c>
      <c r="M21" s="18" t="n">
        <v>0</v>
      </c>
      <c r="N21" s="20" t="n">
        <v>0</v>
      </c>
      <c r="O21" s="18" t="n">
        <v>0</v>
      </c>
      <c r="P21" s="20" t="n">
        <v>0</v>
      </c>
      <c r="Q21" s="18" t="n">
        <v>0</v>
      </c>
      <c r="R21" s="20" t="n">
        <v>0</v>
      </c>
    </row>
    <row r="22" spans="1:18">
      <c r="A22" s="15" t="s">
        <v>364</v>
      </c>
      <c r="B22" s="17" t="n">
        <v>2931</v>
      </c>
      <c r="C22" s="18">
        <f>(2573.0/B22*100)</f>
        <v/>
      </c>
      <c r="D22" s="19" t="n">
        <v>358</v>
      </c>
      <c r="E22" s="18" t="n">
        <v>60.71000978</v>
      </c>
      <c r="F22" s="20" t="n">
        <v>2.92085984</v>
      </c>
      <c r="G22" s="18" t="n">
        <v>37.76719926</v>
      </c>
      <c r="H22" s="20" t="n">
        <v>2.87294211</v>
      </c>
      <c r="I22" s="18" t="s">
        <v>349</v>
      </c>
      <c r="J22" s="20" t="s">
        <v>349</v>
      </c>
      <c r="K22" s="18" t="n">
        <v>0.74437821</v>
      </c>
      <c r="L22" s="20" t="n">
        <v>0.57507956</v>
      </c>
      <c r="M22" s="18" t="n">
        <v>0</v>
      </c>
      <c r="N22" s="20" t="n">
        <v>0</v>
      </c>
      <c r="O22" s="18" t="n">
        <v>0</v>
      </c>
      <c r="P22" s="20" t="n">
        <v>0</v>
      </c>
      <c r="Q22" s="18" t="n">
        <v>0.77841276</v>
      </c>
      <c r="R22" s="20" t="n">
        <v>0.45004558</v>
      </c>
    </row>
    <row r="23" spans="1:18">
      <c r="A23" s="15" t="s">
        <v>365</v>
      </c>
      <c r="B23" s="17" t="n">
        <v>5791</v>
      </c>
      <c r="C23" s="18">
        <f>(5065.0/B23*100)</f>
        <v/>
      </c>
      <c r="D23" s="19" t="n">
        <v>726</v>
      </c>
      <c r="E23" s="18" t="n">
        <v>52.97013636</v>
      </c>
      <c r="F23" s="20" t="n">
        <v>2.43862656</v>
      </c>
      <c r="G23" s="18" t="n">
        <v>46.91903405</v>
      </c>
      <c r="H23" s="20" t="n">
        <v>2.44528289</v>
      </c>
      <c r="I23" s="18" t="s">
        <v>349</v>
      </c>
      <c r="J23" s="20" t="s">
        <v>349</v>
      </c>
      <c r="K23" s="18" t="n">
        <v>0</v>
      </c>
      <c r="L23" s="20" t="n">
        <v>0</v>
      </c>
      <c r="M23" s="18" t="n">
        <v>0</v>
      </c>
      <c r="N23" s="20" t="n">
        <v>0</v>
      </c>
      <c r="O23" s="18" t="n">
        <v>0</v>
      </c>
      <c r="P23" s="20" t="n">
        <v>0</v>
      </c>
      <c r="Q23" s="18" t="n">
        <v>0.11082958</v>
      </c>
      <c r="R23" s="20" t="n">
        <v>0.11107983</v>
      </c>
    </row>
    <row r="24" spans="1:18">
      <c r="A24" s="15" t="s">
        <v>366</v>
      </c>
      <c r="B24" s="17" t="n">
        <v>3338</v>
      </c>
      <c r="C24" s="18">
        <f>(2921.0/B24*100)</f>
        <v/>
      </c>
      <c r="D24" s="19" t="n">
        <v>417</v>
      </c>
      <c r="E24" s="18" t="n">
        <v>58.89878449</v>
      </c>
      <c r="F24" s="20" t="n">
        <v>2.57109082</v>
      </c>
      <c r="G24" s="18" t="n">
        <v>40.93110078</v>
      </c>
      <c r="H24" s="20" t="n">
        <v>2.58688657</v>
      </c>
      <c r="I24" s="18" t="s">
        <v>349</v>
      </c>
      <c r="J24" s="20" t="s">
        <v>349</v>
      </c>
      <c r="K24" s="18" t="n">
        <v>0.17011473</v>
      </c>
      <c r="L24" s="20" t="n">
        <v>0.17093135</v>
      </c>
      <c r="M24" s="18" t="n">
        <v>0</v>
      </c>
      <c r="N24" s="20" t="n">
        <v>0</v>
      </c>
      <c r="O24" s="18" t="n">
        <v>0</v>
      </c>
      <c r="P24" s="20" t="n">
        <v>0</v>
      </c>
      <c r="Q24" s="18" t="n">
        <v>0</v>
      </c>
      <c r="R24" s="20" t="n">
        <v>0</v>
      </c>
    </row>
    <row r="25" spans="1:18">
      <c r="A25" s="15" t="s">
        <v>367</v>
      </c>
      <c r="B25" s="17" t="n">
        <v>2912</v>
      </c>
      <c r="C25" s="18">
        <f>(2574.0/B25*100)</f>
        <v/>
      </c>
      <c r="D25" s="19" t="n">
        <v>338</v>
      </c>
      <c r="E25" s="18" t="n">
        <v>78.82433465</v>
      </c>
      <c r="F25" s="20" t="n">
        <v>2.62328858</v>
      </c>
      <c r="G25" s="18" t="n">
        <v>20.26303231</v>
      </c>
      <c r="H25" s="20" t="n">
        <v>2.65510112</v>
      </c>
      <c r="I25" s="18" t="s">
        <v>349</v>
      </c>
      <c r="J25" s="20" t="s">
        <v>349</v>
      </c>
      <c r="K25" s="18" t="n">
        <v>0.3180622</v>
      </c>
      <c r="L25" s="20" t="n">
        <v>0.31716377</v>
      </c>
      <c r="M25" s="18" t="n">
        <v>0</v>
      </c>
      <c r="N25" s="20" t="n">
        <v>0</v>
      </c>
      <c r="O25" s="18" t="n">
        <v>0</v>
      </c>
      <c r="P25" s="20" t="n">
        <v>0</v>
      </c>
      <c r="Q25" s="18" t="n">
        <v>0.59457084</v>
      </c>
      <c r="R25" s="20" t="n">
        <v>0.42139057</v>
      </c>
    </row>
    <row r="26" spans="1:18">
      <c r="A26" s="15" t="s">
        <v>368</v>
      </c>
      <c r="B26" s="17" t="n">
        <v>2450</v>
      </c>
      <c r="C26" s="18">
        <f>(2132.0/B26*100)</f>
        <v/>
      </c>
      <c r="D26" s="19" t="n">
        <v>318</v>
      </c>
      <c r="E26" s="18" t="n">
        <v>52.4578498</v>
      </c>
      <c r="F26" s="20" t="n">
        <v>3.04491925</v>
      </c>
      <c r="G26" s="18" t="n">
        <v>47.29929492</v>
      </c>
      <c r="H26" s="20" t="n">
        <v>3.02243729</v>
      </c>
      <c r="I26" s="18" t="s">
        <v>349</v>
      </c>
      <c r="J26" s="20" t="s">
        <v>349</v>
      </c>
      <c r="K26" s="18" t="n">
        <v>0</v>
      </c>
      <c r="L26" s="20" t="n">
        <v>0</v>
      </c>
      <c r="M26" s="18" t="n">
        <v>0</v>
      </c>
      <c r="N26" s="20" t="n">
        <v>0</v>
      </c>
      <c r="O26" s="18" t="n">
        <v>0</v>
      </c>
      <c r="P26" s="20" t="n">
        <v>0</v>
      </c>
      <c r="Q26" s="18" t="n">
        <v>0.24285528</v>
      </c>
      <c r="R26" s="20" t="n">
        <v>0.24297782</v>
      </c>
    </row>
    <row r="27" spans="1:18">
      <c r="A27" s="15" t="s">
        <v>369</v>
      </c>
      <c r="B27" s="17" t="n">
        <v>2616</v>
      </c>
      <c r="C27" s="18">
        <f>(2304.0/B27*100)</f>
        <v/>
      </c>
      <c r="D27" s="19" t="n">
        <v>312</v>
      </c>
      <c r="E27" s="18" t="n">
        <v>48.58282189</v>
      </c>
      <c r="F27" s="20" t="n">
        <v>2.64161829</v>
      </c>
      <c r="G27" s="18" t="n">
        <v>51.10024549</v>
      </c>
      <c r="H27" s="20" t="n">
        <v>2.64129771</v>
      </c>
      <c r="I27" s="18" t="s">
        <v>349</v>
      </c>
      <c r="J27" s="20" t="s">
        <v>349</v>
      </c>
      <c r="K27" s="18" t="n">
        <v>0.31693261</v>
      </c>
      <c r="L27" s="20" t="n">
        <v>0.31377504</v>
      </c>
      <c r="M27" s="18" t="n">
        <v>0</v>
      </c>
      <c r="N27" s="20" t="n">
        <v>0</v>
      </c>
      <c r="O27" s="18" t="n">
        <v>0</v>
      </c>
      <c r="P27" s="20" t="n">
        <v>0</v>
      </c>
      <c r="Q27" s="18" t="n">
        <v>0</v>
      </c>
      <c r="R27" s="20" t="n">
        <v>0</v>
      </c>
    </row>
    <row r="28" spans="1:18">
      <c r="A28" s="15" t="s">
        <v>370</v>
      </c>
      <c r="B28" s="17" t="n">
        <v>3765</v>
      </c>
      <c r="C28" s="18">
        <f>(3284.0/B28*100)</f>
        <v/>
      </c>
      <c r="D28" s="19" t="n">
        <v>481</v>
      </c>
      <c r="E28" s="18" t="n">
        <v>68.54469709</v>
      </c>
      <c r="F28" s="20" t="n">
        <v>2.36665758</v>
      </c>
      <c r="G28" s="18" t="n">
        <v>30.43569114</v>
      </c>
      <c r="H28" s="20" t="n">
        <v>2.27393455</v>
      </c>
      <c r="I28" s="18" t="s">
        <v>349</v>
      </c>
      <c r="J28" s="20" t="s">
        <v>349</v>
      </c>
      <c r="K28" s="18" t="n">
        <v>0.35321383</v>
      </c>
      <c r="L28" s="20" t="n">
        <v>0.35291387</v>
      </c>
      <c r="M28" s="18" t="n">
        <v>0</v>
      </c>
      <c r="N28" s="20" t="n">
        <v>0</v>
      </c>
      <c r="O28" s="18" t="n">
        <v>0</v>
      </c>
      <c r="P28" s="20" t="n">
        <v>0</v>
      </c>
      <c r="Q28" s="18" t="n">
        <v>0.66639794</v>
      </c>
      <c r="R28" s="20" t="n">
        <v>0.49092657</v>
      </c>
    </row>
    <row r="29" spans="1:18">
      <c r="A29" s="15" t="s">
        <v>371</v>
      </c>
      <c r="B29" s="17" t="n">
        <v>2685</v>
      </c>
      <c r="C29" s="18">
        <f>(2377.0/B29*100)</f>
        <v/>
      </c>
      <c r="D29" s="19" t="n">
        <v>308</v>
      </c>
      <c r="E29" s="18" t="n">
        <v>45.91858084</v>
      </c>
      <c r="F29" s="20" t="n">
        <v>2.87288357</v>
      </c>
      <c r="G29" s="18" t="n">
        <v>53.84523726</v>
      </c>
      <c r="H29" s="20" t="n">
        <v>2.83946673</v>
      </c>
      <c r="I29" s="18" t="s">
        <v>349</v>
      </c>
      <c r="J29" s="20" t="s">
        <v>349</v>
      </c>
      <c r="K29" s="18" t="n">
        <v>0</v>
      </c>
      <c r="L29" s="20" t="n">
        <v>0</v>
      </c>
      <c r="M29" s="18" t="n">
        <v>0</v>
      </c>
      <c r="N29" s="20" t="n">
        <v>0</v>
      </c>
      <c r="O29" s="18" t="n">
        <v>0</v>
      </c>
      <c r="P29" s="20" t="n">
        <v>0</v>
      </c>
      <c r="Q29" s="18" t="n">
        <v>0.2361819</v>
      </c>
      <c r="R29" s="20" t="n">
        <v>0.24688254</v>
      </c>
    </row>
    <row r="30" spans="1:18">
      <c r="A30" s="15" t="s">
        <v>372</v>
      </c>
      <c r="B30" s="17" t="n">
        <v>2263</v>
      </c>
      <c r="C30" s="18">
        <f>(1972.0/B30*100)</f>
        <v/>
      </c>
      <c r="D30" s="19" t="n">
        <v>291</v>
      </c>
      <c r="E30" s="18" t="n">
        <v>41.83772679</v>
      </c>
      <c r="F30" s="20" t="n">
        <v>3.03342043</v>
      </c>
      <c r="G30" s="18" t="n">
        <v>57.44406871</v>
      </c>
      <c r="H30" s="20" t="n">
        <v>3.06834323</v>
      </c>
      <c r="I30" s="18" t="s">
        <v>349</v>
      </c>
      <c r="J30" s="20" t="s">
        <v>349</v>
      </c>
      <c r="K30" s="18" t="n">
        <v>0</v>
      </c>
      <c r="L30" s="20" t="n">
        <v>0</v>
      </c>
      <c r="M30" s="18" t="n">
        <v>0</v>
      </c>
      <c r="N30" s="20" t="n">
        <v>0</v>
      </c>
      <c r="O30" s="18" t="n">
        <v>0</v>
      </c>
      <c r="P30" s="20" t="n">
        <v>0</v>
      </c>
      <c r="Q30" s="18" t="n">
        <v>0.71820449</v>
      </c>
      <c r="R30" s="20" t="n">
        <v>0.47188285</v>
      </c>
    </row>
    <row r="31" spans="1:18">
      <c r="A31" s="15" t="s">
        <v>373</v>
      </c>
      <c r="B31" s="17" t="n">
        <v>2750</v>
      </c>
      <c r="C31" s="18">
        <f>(2420.0/B31*100)</f>
        <v/>
      </c>
      <c r="D31" s="19" t="n">
        <v>330</v>
      </c>
      <c r="E31" s="18" t="n">
        <v>44.3427724</v>
      </c>
      <c r="F31" s="20" t="n">
        <v>2.84600744</v>
      </c>
      <c r="G31" s="18" t="n">
        <v>54.74307119</v>
      </c>
      <c r="H31" s="20" t="n">
        <v>2.81205637</v>
      </c>
      <c r="I31" s="18" t="s">
        <v>349</v>
      </c>
      <c r="J31" s="20" t="s">
        <v>349</v>
      </c>
      <c r="K31" s="18" t="n">
        <v>0.27055488</v>
      </c>
      <c r="L31" s="20" t="n">
        <v>0.26722689</v>
      </c>
      <c r="M31" s="18" t="n">
        <v>0</v>
      </c>
      <c r="N31" s="20" t="n">
        <v>0</v>
      </c>
      <c r="O31" s="18" t="n">
        <v>0</v>
      </c>
      <c r="P31" s="20" t="n">
        <v>0</v>
      </c>
      <c r="Q31" s="18" t="n">
        <v>0.64360153</v>
      </c>
      <c r="R31" s="20" t="n">
        <v>0.43347176</v>
      </c>
    </row>
    <row r="32" spans="1:18">
      <c r="A32" s="15" t="s">
        <v>374</v>
      </c>
      <c r="B32" s="17" t="n">
        <v>2269</v>
      </c>
      <c r="C32" s="18">
        <f>(1903.0/B32*100)</f>
        <v/>
      </c>
      <c r="D32" s="19" t="n">
        <v>366</v>
      </c>
      <c r="E32" s="18" t="n">
        <v>45.4241308</v>
      </c>
      <c r="F32" s="20" t="n">
        <v>2.97035479</v>
      </c>
      <c r="G32" s="18" t="n">
        <v>54.5758692</v>
      </c>
      <c r="H32" s="20" t="n">
        <v>2.97035479</v>
      </c>
      <c r="I32" s="18" t="s">
        <v>349</v>
      </c>
      <c r="J32" s="20" t="s">
        <v>349</v>
      </c>
      <c r="K32" s="18" t="n">
        <v>0</v>
      </c>
      <c r="L32" s="20" t="n">
        <v>0</v>
      </c>
      <c r="M32" s="18" t="n">
        <v>0</v>
      </c>
      <c r="N32" s="20" t="n">
        <v>0</v>
      </c>
      <c r="O32" s="18" t="n">
        <v>0</v>
      </c>
      <c r="P32" s="20" t="n">
        <v>0</v>
      </c>
      <c r="Q32" s="18" t="n">
        <v>0</v>
      </c>
      <c r="R32" s="20" t="n">
        <v>0</v>
      </c>
    </row>
    <row r="33" spans="1:18">
      <c r="A33" s="15" t="s">
        <v>375</v>
      </c>
      <c r="B33" s="17" t="n">
        <v>3674</v>
      </c>
      <c r="C33" s="18">
        <f>(3222.0/B33*100)</f>
        <v/>
      </c>
      <c r="D33" s="19" t="n">
        <v>452</v>
      </c>
      <c r="E33" s="18" t="n">
        <v>43.72212268</v>
      </c>
      <c r="F33" s="20" t="n">
        <v>2.74053249</v>
      </c>
      <c r="G33" s="18" t="n">
        <v>55.17177349</v>
      </c>
      <c r="H33" s="20" t="n">
        <v>2.80652416</v>
      </c>
      <c r="I33" s="18" t="s">
        <v>349</v>
      </c>
      <c r="J33" s="20" t="s">
        <v>349</v>
      </c>
      <c r="K33" s="18" t="n">
        <v>1.10610382</v>
      </c>
      <c r="L33" s="20" t="n">
        <v>1.0460257</v>
      </c>
      <c r="M33" s="18" t="n">
        <v>0</v>
      </c>
      <c r="N33" s="20" t="n">
        <v>0</v>
      </c>
      <c r="O33" s="18" t="n">
        <v>0</v>
      </c>
      <c r="P33" s="20" t="n">
        <v>0</v>
      </c>
      <c r="Q33" s="18" t="n">
        <v>0</v>
      </c>
      <c r="R33" s="20" t="n">
        <v>0</v>
      </c>
    </row>
    <row r="34" spans="1:18">
      <c r="A34" s="15" t="s">
        <v>376</v>
      </c>
      <c r="B34" s="17" t="n">
        <v>3315</v>
      </c>
      <c r="C34" s="18">
        <f>(2903.0/B34*100)</f>
        <v/>
      </c>
      <c r="D34" s="19" t="n">
        <v>412</v>
      </c>
      <c r="E34" s="18" t="n">
        <v>56.15658484</v>
      </c>
      <c r="F34" s="20" t="n">
        <v>2.41673928</v>
      </c>
      <c r="G34" s="18" t="n">
        <v>43.48421918</v>
      </c>
      <c r="H34" s="20" t="n">
        <v>2.41985952</v>
      </c>
      <c r="I34" s="18" t="s">
        <v>349</v>
      </c>
      <c r="J34" s="20" t="s">
        <v>349</v>
      </c>
      <c r="K34" s="18" t="n">
        <v>0</v>
      </c>
      <c r="L34" s="20" t="n">
        <v>0</v>
      </c>
      <c r="M34" s="18" t="n">
        <v>0</v>
      </c>
      <c r="N34" s="20" t="n">
        <v>0</v>
      </c>
      <c r="O34" s="18" t="n">
        <v>0</v>
      </c>
      <c r="P34" s="20" t="n">
        <v>0</v>
      </c>
      <c r="Q34" s="18" t="n">
        <v>0.35919598</v>
      </c>
      <c r="R34" s="20" t="n">
        <v>0.35935133</v>
      </c>
    </row>
    <row r="35" spans="1:18">
      <c r="A35" s="15" t="s">
        <v>377</v>
      </c>
      <c r="B35" s="17" t="n">
        <v>3505</v>
      </c>
      <c r="C35" s="18">
        <f>(3096.0/B35*100)</f>
        <v/>
      </c>
      <c r="D35" s="19" t="n">
        <v>409</v>
      </c>
      <c r="E35" s="18" t="n">
        <v>40.01317283</v>
      </c>
      <c r="F35" s="20" t="n">
        <v>3.11977088</v>
      </c>
      <c r="G35" s="18" t="n">
        <v>59.98682717</v>
      </c>
      <c r="H35" s="20" t="n">
        <v>3.11977088</v>
      </c>
      <c r="I35" s="18" t="s">
        <v>349</v>
      </c>
      <c r="J35" s="20" t="s">
        <v>349</v>
      </c>
      <c r="K35" s="18" t="n">
        <v>0</v>
      </c>
      <c r="L35" s="20" t="n">
        <v>0</v>
      </c>
      <c r="M35" s="18" t="n">
        <v>0</v>
      </c>
      <c r="N35" s="20" t="n">
        <v>0</v>
      </c>
      <c r="O35" s="18" t="n">
        <v>0</v>
      </c>
      <c r="P35" s="20" t="n">
        <v>0</v>
      </c>
      <c r="Q35" s="18" t="n">
        <v>0</v>
      </c>
      <c r="R35" s="20" t="n">
        <v>0</v>
      </c>
    </row>
    <row r="36" spans="1:18">
      <c r="A36" s="15" t="s">
        <v>378</v>
      </c>
      <c r="B36" s="17" t="n">
        <v>3332</v>
      </c>
      <c r="C36" s="18">
        <f>(2930.0/B36*100)</f>
        <v/>
      </c>
      <c r="D36" s="19" t="n">
        <v>402</v>
      </c>
      <c r="E36" s="18" t="n">
        <v>56.09467521</v>
      </c>
      <c r="F36" s="20" t="n">
        <v>2.36397227</v>
      </c>
      <c r="G36" s="18" t="n">
        <v>43.50266031</v>
      </c>
      <c r="H36" s="20" t="n">
        <v>2.35322779</v>
      </c>
      <c r="I36" s="18" t="s">
        <v>349</v>
      </c>
      <c r="J36" s="20" t="s">
        <v>349</v>
      </c>
      <c r="K36" s="18" t="n">
        <v>0.25890231</v>
      </c>
      <c r="L36" s="20" t="n">
        <v>0.26478613</v>
      </c>
      <c r="M36" s="18" t="n">
        <v>0</v>
      </c>
      <c r="N36" s="20" t="n">
        <v>0</v>
      </c>
      <c r="O36" s="18" t="n">
        <v>0</v>
      </c>
      <c r="P36" s="20" t="n">
        <v>0</v>
      </c>
      <c r="Q36" s="18" t="n">
        <v>0.14376218</v>
      </c>
      <c r="R36" s="20" t="n">
        <v>0.1316957</v>
      </c>
    </row>
    <row r="37" spans="1:18">
      <c r="A37" s="15" t="s">
        <v>379</v>
      </c>
      <c r="B37" s="17" t="n">
        <v>2727</v>
      </c>
      <c r="C37" s="18">
        <f>(2390.0/B37*100)</f>
        <v/>
      </c>
      <c r="D37" s="19" t="n">
        <v>337</v>
      </c>
      <c r="E37" s="18" t="n">
        <v>38.95541594</v>
      </c>
      <c r="F37" s="20" t="n">
        <v>2.39369936</v>
      </c>
      <c r="G37" s="18" t="n">
        <v>59.64481036</v>
      </c>
      <c r="H37" s="20" t="n">
        <v>2.50413537</v>
      </c>
      <c r="I37" s="18" t="s">
        <v>349</v>
      </c>
      <c r="J37" s="20" t="s">
        <v>349</v>
      </c>
      <c r="K37" s="18" t="n">
        <v>0.29712472</v>
      </c>
      <c r="L37" s="20" t="n">
        <v>0.29552565</v>
      </c>
      <c r="M37" s="18" t="n">
        <v>0</v>
      </c>
      <c r="N37" s="20" t="n">
        <v>0</v>
      </c>
      <c r="O37" s="18" t="n">
        <v>0</v>
      </c>
      <c r="P37" s="20" t="n">
        <v>0</v>
      </c>
      <c r="Q37" s="18" t="n">
        <v>1.10264898</v>
      </c>
      <c r="R37" s="20" t="n">
        <v>0.64652563</v>
      </c>
    </row>
    <row r="38" spans="1:18">
      <c r="A38" s="15" t="s">
        <v>380</v>
      </c>
      <c r="B38" s="17" t="n">
        <v>3053</v>
      </c>
      <c r="C38" s="18">
        <f>(2549.0/B38*100)</f>
        <v/>
      </c>
      <c r="D38" s="19" t="n">
        <v>504</v>
      </c>
      <c r="E38" s="18" t="n">
        <v>45.91874834</v>
      </c>
      <c r="F38" s="20" t="n">
        <v>2.74333066</v>
      </c>
      <c r="G38" s="18" t="n">
        <v>53.68699802</v>
      </c>
      <c r="H38" s="20" t="n">
        <v>2.74690221</v>
      </c>
      <c r="I38" s="18" t="s">
        <v>349</v>
      </c>
      <c r="J38" s="20" t="s">
        <v>349</v>
      </c>
      <c r="K38" s="18" t="n">
        <v>0.19813036</v>
      </c>
      <c r="L38" s="20" t="n">
        <v>0.20395501</v>
      </c>
      <c r="M38" s="18" t="n">
        <v>0</v>
      </c>
      <c r="N38" s="20" t="n">
        <v>0</v>
      </c>
      <c r="O38" s="18" t="n">
        <v>0</v>
      </c>
      <c r="P38" s="20" t="n">
        <v>0</v>
      </c>
      <c r="Q38" s="18" t="n">
        <v>0.19612329</v>
      </c>
      <c r="R38" s="20" t="n">
        <v>0.19498156</v>
      </c>
    </row>
    <row r="39" spans="1:18">
      <c r="A39" s="15" t="s">
        <v>381</v>
      </c>
      <c r="B39" s="17" t="n">
        <v>2957</v>
      </c>
      <c r="C39" s="18">
        <f>(2598.0/B39*100)</f>
        <v/>
      </c>
      <c r="D39" s="19" t="n">
        <v>359</v>
      </c>
      <c r="E39" s="18" t="n">
        <v>67.46458948</v>
      </c>
      <c r="F39" s="20" t="n">
        <v>2.46487256</v>
      </c>
      <c r="G39" s="18" t="n">
        <v>32.18082324</v>
      </c>
      <c r="H39" s="20" t="n">
        <v>2.46104095</v>
      </c>
      <c r="I39" s="18" t="s">
        <v>349</v>
      </c>
      <c r="J39" s="20" t="s">
        <v>349</v>
      </c>
      <c r="K39" s="18" t="n">
        <v>0.35458728</v>
      </c>
      <c r="L39" s="20" t="n">
        <v>0.25544255</v>
      </c>
      <c r="M39" s="18" t="n">
        <v>0</v>
      </c>
      <c r="N39" s="20" t="n">
        <v>0</v>
      </c>
      <c r="O39" s="18" t="n">
        <v>0</v>
      </c>
      <c r="P39" s="20" t="n">
        <v>0</v>
      </c>
      <c r="Q39" s="18" t="n">
        <v>0</v>
      </c>
      <c r="R39" s="20" t="n">
        <v>0</v>
      </c>
    </row>
    <row r="40" spans="1:18">
      <c r="A40" s="15" t="s">
        <v>382</v>
      </c>
      <c r="B40" s="17" t="n">
        <v>7235</v>
      </c>
      <c r="C40" s="18">
        <f>(6329.0/B40*100)</f>
        <v/>
      </c>
      <c r="D40" s="19" t="n">
        <v>906</v>
      </c>
      <c r="E40" s="18" t="n">
        <v>38.59588639</v>
      </c>
      <c r="F40" s="20" t="n">
        <v>2.44553705</v>
      </c>
      <c r="G40" s="18" t="n">
        <v>60.20535696</v>
      </c>
      <c r="H40" s="20" t="n">
        <v>2.4586409</v>
      </c>
      <c r="I40" s="18" t="s">
        <v>349</v>
      </c>
      <c r="J40" s="20" t="s">
        <v>349</v>
      </c>
      <c r="K40" s="18" t="n">
        <v>0.57540544</v>
      </c>
      <c r="L40" s="20" t="n">
        <v>0.33389516</v>
      </c>
      <c r="M40" s="18" t="n">
        <v>0</v>
      </c>
      <c r="N40" s="20" t="n">
        <v>0</v>
      </c>
      <c r="O40" s="18" t="n">
        <v>0</v>
      </c>
      <c r="P40" s="20" t="n">
        <v>0</v>
      </c>
      <c r="Q40" s="18" t="n">
        <v>0.6233512</v>
      </c>
      <c r="R40" s="20" t="n">
        <v>0.42433735</v>
      </c>
    </row>
    <row r="41" spans="1:18">
      <c r="A41" s="15" t="s">
        <v>383</v>
      </c>
      <c r="B41" s="17" t="n">
        <v>2858</v>
      </c>
      <c r="C41" s="18">
        <f>(2477.0/B41*100)</f>
        <v/>
      </c>
      <c r="D41" s="19" t="n">
        <v>381</v>
      </c>
      <c r="E41" s="18" t="n">
        <v>44.26654036</v>
      </c>
      <c r="F41" s="20" t="n">
        <v>2.87341165</v>
      </c>
      <c r="G41" s="18" t="n">
        <v>54.69768597</v>
      </c>
      <c r="H41" s="20" t="n">
        <v>2.61146821</v>
      </c>
      <c r="I41" s="18" t="s">
        <v>349</v>
      </c>
      <c r="J41" s="20" t="s">
        <v>349</v>
      </c>
      <c r="K41" s="18" t="n">
        <v>0.20024532</v>
      </c>
      <c r="L41" s="20" t="n">
        <v>0.2084772</v>
      </c>
      <c r="M41" s="18" t="n">
        <v>0</v>
      </c>
      <c r="N41" s="20" t="n">
        <v>0</v>
      </c>
      <c r="O41" s="18" t="n">
        <v>0</v>
      </c>
      <c r="P41" s="20" t="n">
        <v>0</v>
      </c>
      <c r="Q41" s="18" t="n">
        <v>0.83552834</v>
      </c>
      <c r="R41" s="20" t="n">
        <v>0.8652006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(9803.0/B46*100)</f>
        <v/>
      </c>
      <c r="D46" s="19" t="n">
        <v>1265</v>
      </c>
      <c r="E46" s="18" t="n">
        <v>69.31321942</v>
      </c>
      <c r="F46" s="20" t="n">
        <v>1.97872191</v>
      </c>
      <c r="G46" s="18" t="n">
        <v>29.20804332</v>
      </c>
      <c r="H46" s="20" t="n">
        <v>1.94742694</v>
      </c>
      <c r="I46" s="18" t="s">
        <v>349</v>
      </c>
      <c r="J46" s="20" t="s">
        <v>349</v>
      </c>
      <c r="K46" s="18" t="n">
        <v>0.57134506</v>
      </c>
      <c r="L46" s="20" t="n">
        <v>0.37685846</v>
      </c>
      <c r="M46" s="18" t="n">
        <v>0</v>
      </c>
      <c r="N46" s="20" t="n">
        <v>0</v>
      </c>
      <c r="O46" s="18" t="n">
        <v>0</v>
      </c>
      <c r="P46" s="20" t="n">
        <v>0</v>
      </c>
      <c r="Q46" s="18" t="n">
        <v>0.9073922</v>
      </c>
      <c r="R46" s="20" t="n">
        <v>0.33176506</v>
      </c>
    </row>
    <row r="47" spans="1:18">
      <c r="A47" s="15" t="s">
        <v>389</v>
      </c>
      <c r="B47" s="17" t="n">
        <v>3105</v>
      </c>
      <c r="C47" s="18">
        <f>(2707.0/B47*100)</f>
        <v/>
      </c>
      <c r="D47" s="19" t="n">
        <v>398</v>
      </c>
      <c r="E47" s="18" t="n">
        <v>68.22532821</v>
      </c>
      <c r="F47" s="20" t="n">
        <v>2.63737593</v>
      </c>
      <c r="G47" s="18" t="n">
        <v>30.78654792</v>
      </c>
      <c r="H47" s="20" t="n">
        <v>2.67447394</v>
      </c>
      <c r="I47" s="18" t="s">
        <v>349</v>
      </c>
      <c r="J47" s="20" t="s">
        <v>349</v>
      </c>
      <c r="K47" s="18" t="n">
        <v>0.49665575</v>
      </c>
      <c r="L47" s="20" t="n">
        <v>0.33731372</v>
      </c>
      <c r="M47" s="18" t="n">
        <v>0</v>
      </c>
      <c r="N47" s="20" t="n">
        <v>0</v>
      </c>
      <c r="O47" s="18" t="n">
        <v>0</v>
      </c>
      <c r="P47" s="20" t="n">
        <v>0</v>
      </c>
      <c r="Q47" s="18" t="n">
        <v>0.49146812</v>
      </c>
      <c r="R47" s="20" t="n">
        <v>0.37586555</v>
      </c>
    </row>
    <row r="48" spans="1:18">
      <c r="A48" s="15" t="s">
        <v>390</v>
      </c>
      <c r="B48" s="17" t="n">
        <v>5159</v>
      </c>
      <c r="C48" s="18">
        <f>(4538.0/B48*100)</f>
        <v/>
      </c>
      <c r="D48" s="19" t="n">
        <v>621</v>
      </c>
      <c r="E48" s="18" t="n">
        <v>49.60031512</v>
      </c>
      <c r="F48" s="20" t="n">
        <v>2.88319569</v>
      </c>
      <c r="G48" s="18" t="n">
        <v>49.06709023</v>
      </c>
      <c r="H48" s="20" t="n">
        <v>2.88348293</v>
      </c>
      <c r="I48" s="18" t="s">
        <v>349</v>
      </c>
      <c r="J48" s="20" t="s">
        <v>349</v>
      </c>
      <c r="K48" s="18" t="n">
        <v>0.79246024</v>
      </c>
      <c r="L48" s="20" t="n">
        <v>0.47442023</v>
      </c>
      <c r="M48" s="18" t="n">
        <v>0</v>
      </c>
      <c r="N48" s="20" t="n">
        <v>0</v>
      </c>
      <c r="O48" s="18" t="n">
        <v>0</v>
      </c>
      <c r="P48" s="20" t="n">
        <v>0</v>
      </c>
      <c r="Q48" s="18" t="n">
        <v>0.5401344</v>
      </c>
      <c r="R48" s="20" t="n">
        <v>0.41620445</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(4950.0/B50*100)</f>
        <v/>
      </c>
      <c r="D50" s="19" t="n">
        <v>687</v>
      </c>
      <c r="E50" s="18" t="n">
        <v>71.22986605</v>
      </c>
      <c r="F50" s="20" t="n">
        <v>2.73592835</v>
      </c>
      <c r="G50" s="18" t="n">
        <v>27.85899451</v>
      </c>
      <c r="H50" s="20" t="n">
        <v>2.69198282</v>
      </c>
      <c r="I50" s="18" t="s">
        <v>349</v>
      </c>
      <c r="J50" s="20" t="s">
        <v>349</v>
      </c>
      <c r="K50" s="18" t="n">
        <v>0.91113944</v>
      </c>
      <c r="L50" s="20" t="n">
        <v>0.43813436</v>
      </c>
      <c r="M50" s="18" t="n">
        <v>0</v>
      </c>
      <c r="N50" s="20" t="n">
        <v>0</v>
      </c>
      <c r="O50" s="18" t="n">
        <v>0</v>
      </c>
      <c r="P50" s="20" t="n">
        <v>0</v>
      </c>
      <c r="Q50" s="18" t="n">
        <v>0</v>
      </c>
      <c r="R50" s="20" t="n">
        <v>0</v>
      </c>
    </row>
    <row r="51" spans="1:18">
      <c r="A51" s="15" t="s">
        <v>393</v>
      </c>
      <c r="B51" s="17" t="n">
        <v>3372</v>
      </c>
      <c r="C51" s="18">
        <f>(2999.0/B51*100)</f>
        <v/>
      </c>
      <c r="D51" s="19" t="n">
        <v>373</v>
      </c>
      <c r="E51" s="18" t="n">
        <v>72.88192314</v>
      </c>
      <c r="F51" s="20" t="n">
        <v>2.21836416</v>
      </c>
      <c r="G51" s="18" t="n">
        <v>26.48736804</v>
      </c>
      <c r="H51" s="20" t="n">
        <v>2.21188116</v>
      </c>
      <c r="I51" s="18" t="s">
        <v>349</v>
      </c>
      <c r="J51" s="20" t="s">
        <v>349</v>
      </c>
      <c r="K51" s="18" t="n">
        <v>0.6307088199999999</v>
      </c>
      <c r="L51" s="20" t="n">
        <v>0.45246354</v>
      </c>
      <c r="M51" s="18" t="n">
        <v>0</v>
      </c>
      <c r="N51" s="20" t="n">
        <v>0</v>
      </c>
      <c r="O51" s="18" t="n">
        <v>0</v>
      </c>
      <c r="P51" s="20" t="n">
        <v>0</v>
      </c>
      <c r="Q51" s="18" t="n">
        <v>0</v>
      </c>
      <c r="R51" s="20" t="n">
        <v>0</v>
      </c>
    </row>
    <row r="52" spans="1:18">
      <c r="A52" s="15" t="s">
        <v>394</v>
      </c>
      <c r="B52" s="17" t="n">
        <v>2796</v>
      </c>
      <c r="C52" s="18">
        <f>(2431.0/B52*100)</f>
        <v/>
      </c>
      <c r="D52" s="19" t="n">
        <v>365</v>
      </c>
      <c r="E52" s="18" t="n">
        <v>54.90733246</v>
      </c>
      <c r="F52" s="20" t="n">
        <v>2.85871583</v>
      </c>
      <c r="G52" s="18" t="n">
        <v>44.64244568</v>
      </c>
      <c r="H52" s="20" t="n">
        <v>2.83110191</v>
      </c>
      <c r="I52" s="18" t="s">
        <v>349</v>
      </c>
      <c r="J52" s="20" t="s">
        <v>349</v>
      </c>
      <c r="K52" s="18" t="n">
        <v>0.2076955</v>
      </c>
      <c r="L52" s="20" t="n">
        <v>0.20823056</v>
      </c>
      <c r="M52" s="18" t="n">
        <v>0</v>
      </c>
      <c r="N52" s="20" t="n">
        <v>0</v>
      </c>
      <c r="O52" s="18" t="n">
        <v>0</v>
      </c>
      <c r="P52" s="20" t="n">
        <v>0</v>
      </c>
      <c r="Q52" s="18" t="n">
        <v>0.24252635</v>
      </c>
      <c r="R52" s="20" t="n">
        <v>0.23988506</v>
      </c>
    </row>
    <row r="53" spans="1:18">
      <c r="A53" s="15" t="s">
        <v>395</v>
      </c>
      <c r="B53" s="17" t="n">
        <v>2811</v>
      </c>
      <c r="C53" s="18">
        <f>(2456.0/B53*100)</f>
        <v/>
      </c>
      <c r="D53" s="19" t="n">
        <v>355</v>
      </c>
      <c r="E53" s="18" t="n">
        <v>59.27061408</v>
      </c>
      <c r="F53" s="20" t="n">
        <v>2.80285096</v>
      </c>
      <c r="G53" s="18" t="n">
        <v>39.92681347</v>
      </c>
      <c r="H53" s="20" t="n">
        <v>2.85342338</v>
      </c>
      <c r="I53" s="18" t="s">
        <v>349</v>
      </c>
      <c r="J53" s="20" t="s">
        <v>349</v>
      </c>
      <c r="K53" s="18" t="n">
        <v>0.19013366</v>
      </c>
      <c r="L53" s="20" t="n">
        <v>0.19005342</v>
      </c>
      <c r="M53" s="18" t="n">
        <v>0</v>
      </c>
      <c r="N53" s="20" t="n">
        <v>0</v>
      </c>
      <c r="O53" s="18" t="n">
        <v>0</v>
      </c>
      <c r="P53" s="20" t="n">
        <v>0</v>
      </c>
      <c r="Q53" s="18" t="n">
        <v>0.61243878</v>
      </c>
      <c r="R53" s="20" t="n">
        <v>0.35065138</v>
      </c>
    </row>
    <row r="54" spans="1:18">
      <c r="A54" s="15" t="s">
        <v>396</v>
      </c>
      <c r="B54" s="17" t="n">
        <v>2266</v>
      </c>
      <c r="C54" s="18">
        <f>(1906.0/B54*100)</f>
        <v/>
      </c>
      <c r="D54" s="19" t="n">
        <v>360</v>
      </c>
      <c r="E54" s="18" t="n">
        <v>81.47810269</v>
      </c>
      <c r="F54" s="20" t="n">
        <v>2.17196274</v>
      </c>
      <c r="G54" s="18" t="n">
        <v>11.761985</v>
      </c>
      <c r="H54" s="20" t="n">
        <v>1.62572708</v>
      </c>
      <c r="I54" s="18" t="s">
        <v>349</v>
      </c>
      <c r="J54" s="20" t="s">
        <v>349</v>
      </c>
      <c r="K54" s="18" t="n">
        <v>6.39209479</v>
      </c>
      <c r="L54" s="20" t="n">
        <v>1.65190098</v>
      </c>
      <c r="M54" s="18" t="n">
        <v>0</v>
      </c>
      <c r="N54" s="20" t="n">
        <v>0</v>
      </c>
      <c r="O54" s="18" t="n">
        <v>0</v>
      </c>
      <c r="P54" s="20" t="n">
        <v>0</v>
      </c>
      <c r="Q54" s="18" t="n">
        <v>0.36781752</v>
      </c>
      <c r="R54" s="20" t="n">
        <v>0.25821883</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(2356.0/B56*100)</f>
        <v/>
      </c>
      <c r="D56" s="19" t="n">
        <v>328</v>
      </c>
      <c r="E56" s="18" t="n">
        <v>50.66957264</v>
      </c>
      <c r="F56" s="20" t="n">
        <v>3.01035949</v>
      </c>
      <c r="G56" s="18" t="n">
        <v>49.08245718</v>
      </c>
      <c r="H56" s="20" t="n">
        <v>3.01485936</v>
      </c>
      <c r="I56" s="18" t="s">
        <v>349</v>
      </c>
      <c r="J56" s="20" t="s">
        <v>349</v>
      </c>
      <c r="K56" s="18" t="n">
        <v>0.24797017</v>
      </c>
      <c r="L56" s="20" t="n">
        <v>0.25288256</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(2926.0/B61*100)</f>
        <v/>
      </c>
      <c r="D61" s="19" t="n">
        <v>398</v>
      </c>
      <c r="E61" s="18" t="n">
        <v>54.07123492</v>
      </c>
      <c r="F61" s="20" t="n">
        <v>3.15882016</v>
      </c>
      <c r="G61" s="18" t="n">
        <v>45.52328957</v>
      </c>
      <c r="H61" s="20" t="n">
        <v>3.16517421</v>
      </c>
      <c r="I61" s="18" t="s">
        <v>349</v>
      </c>
      <c r="J61" s="20" t="s">
        <v>349</v>
      </c>
      <c r="K61" s="18" t="n">
        <v>0</v>
      </c>
      <c r="L61" s="20" t="n">
        <v>0</v>
      </c>
      <c r="M61" s="18" t="n">
        <v>0</v>
      </c>
      <c r="N61" s="20" t="n">
        <v>0</v>
      </c>
      <c r="O61" s="18" t="n">
        <v>0</v>
      </c>
      <c r="P61" s="20" t="n">
        <v>0</v>
      </c>
      <c r="Q61" s="18" t="n">
        <v>0.40547551</v>
      </c>
      <c r="R61" s="20" t="n">
        <v>0.35826857</v>
      </c>
    </row>
    <row r="62" spans="1:18">
      <c r="A62" s="15" t="s">
        <v>404</v>
      </c>
      <c r="B62" s="17" t="n">
        <v>2246</v>
      </c>
      <c r="C62" s="18">
        <f>(1965.0/B62*100)</f>
        <v/>
      </c>
      <c r="D62" s="19" t="n">
        <v>281</v>
      </c>
      <c r="E62" s="18" t="n">
        <v>48.38676655</v>
      </c>
      <c r="F62" s="20" t="n">
        <v>2.79455467</v>
      </c>
      <c r="G62" s="18" t="n">
        <v>51.61323345</v>
      </c>
      <c r="H62" s="20" t="n">
        <v>2.79455467</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(2538.0/B66*100)</f>
        <v/>
      </c>
      <c r="D66" s="19" t="n">
        <v>356</v>
      </c>
      <c r="E66" s="18" t="n">
        <v>71.87912597</v>
      </c>
      <c r="F66" s="20" t="n">
        <v>2.50163355</v>
      </c>
      <c r="G66" s="18" t="n">
        <v>25.50497942</v>
      </c>
      <c r="H66" s="20" t="n">
        <v>2.3777954</v>
      </c>
      <c r="I66" s="18" t="s">
        <v>349</v>
      </c>
      <c r="J66" s="20" t="s">
        <v>349</v>
      </c>
      <c r="K66" s="18" t="n">
        <v>0.53396035</v>
      </c>
      <c r="L66" s="20" t="n">
        <v>0.37875094</v>
      </c>
      <c r="M66" s="18" t="n">
        <v>0</v>
      </c>
      <c r="N66" s="20" t="n">
        <v>0</v>
      </c>
      <c r="O66" s="18" t="n">
        <v>0</v>
      </c>
      <c r="P66" s="20" t="n">
        <v>0</v>
      </c>
      <c r="Q66" s="18" t="n">
        <v>2.08193426</v>
      </c>
      <c r="R66" s="20" t="n">
        <v>0.78264393</v>
      </c>
    </row>
    <row r="67" spans="1:18">
      <c r="A67" s="15" t="s">
        <v>409</v>
      </c>
      <c r="B67" s="17" t="n">
        <v>3511</v>
      </c>
      <c r="C67" s="18">
        <f>(3080.0/B67*100)</f>
        <v/>
      </c>
      <c r="D67" s="19" t="n">
        <v>431</v>
      </c>
      <c r="E67" s="18" t="n">
        <v>72.93478259</v>
      </c>
      <c r="F67" s="20" t="n">
        <v>2.44780067</v>
      </c>
      <c r="G67" s="18" t="n">
        <v>26.88037689</v>
      </c>
      <c r="H67" s="20" t="n">
        <v>2.42880557</v>
      </c>
      <c r="I67" s="18" t="s">
        <v>349</v>
      </c>
      <c r="J67" s="20" t="s">
        <v>349</v>
      </c>
      <c r="K67" s="18" t="n">
        <v>0.18484052</v>
      </c>
      <c r="L67" s="20" t="n">
        <v>0.19011763</v>
      </c>
      <c r="M67" s="18" t="n">
        <v>0</v>
      </c>
      <c r="N67" s="20" t="n">
        <v>0</v>
      </c>
      <c r="O67" s="18" t="n">
        <v>0</v>
      </c>
      <c r="P67" s="20" t="n">
        <v>0</v>
      </c>
      <c r="Q67" s="18" t="n">
        <v>0</v>
      </c>
      <c r="R67" s="20" t="n">
        <v>0</v>
      </c>
    </row>
    <row r="68" spans="1:18">
      <c r="A68" s="15" t="s">
        <v>410</v>
      </c>
      <c r="B68" s="17" t="n">
        <v>6049</v>
      </c>
      <c r="C68" s="18">
        <f>(5057.0/B68*100)</f>
        <v/>
      </c>
      <c r="D68" s="19" t="n">
        <v>992</v>
      </c>
      <c r="E68" s="18" t="n">
        <v>70.42227272</v>
      </c>
      <c r="F68" s="20" t="n">
        <v>1.08044705</v>
      </c>
      <c r="G68" s="18" t="n">
        <v>26.30984876</v>
      </c>
      <c r="H68" s="20" t="n">
        <v>1.08554429</v>
      </c>
      <c r="I68" s="18" t="s">
        <v>349</v>
      </c>
      <c r="J68" s="20" t="s">
        <v>349</v>
      </c>
      <c r="K68" s="18" t="n">
        <v>2.08233498</v>
      </c>
      <c r="L68" s="20" t="n">
        <v>0.42182806</v>
      </c>
      <c r="M68" s="18" t="n">
        <v>0</v>
      </c>
      <c r="N68" s="20" t="n">
        <v>0</v>
      </c>
      <c r="O68" s="18" t="n">
        <v>0</v>
      </c>
      <c r="P68" s="20" t="n">
        <v>0</v>
      </c>
      <c r="Q68" s="18" t="n">
        <v>1.18554355</v>
      </c>
      <c r="R68" s="20" t="n">
        <v>0.34397216</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(2546.0/B70*100)</f>
        <v/>
      </c>
      <c r="D70" s="19" t="n">
        <v>383</v>
      </c>
      <c r="E70" s="18" t="n">
        <v>50.74324095</v>
      </c>
      <c r="F70" s="20" t="n">
        <v>3.21018788</v>
      </c>
      <c r="G70" s="18" t="n">
        <v>48.85939641</v>
      </c>
      <c r="H70" s="20" t="n">
        <v>3.21682854</v>
      </c>
      <c r="I70" s="18" t="s">
        <v>349</v>
      </c>
      <c r="J70" s="20" t="s">
        <v>349</v>
      </c>
      <c r="K70" s="18" t="n">
        <v>0</v>
      </c>
      <c r="L70" s="20" t="n">
        <v>0</v>
      </c>
      <c r="M70" s="18" t="n">
        <v>0</v>
      </c>
      <c r="N70" s="20" t="n">
        <v>0</v>
      </c>
      <c r="O70" s="18" t="n">
        <v>0</v>
      </c>
      <c r="P70" s="20" t="n">
        <v>0</v>
      </c>
      <c r="Q70" s="18" t="n">
        <v>0.39736264</v>
      </c>
      <c r="R70" s="20" t="n">
        <v>0.24237995</v>
      </c>
    </row>
    <row r="71" spans="1:18">
      <c r="A71" s="15" t="s">
        <v>413</v>
      </c>
      <c r="B71" s="17" t="n">
        <v>3142</v>
      </c>
      <c r="C71" s="18">
        <f>(2744.0/B71*100)</f>
        <v/>
      </c>
      <c r="D71" s="19" t="n">
        <v>398</v>
      </c>
      <c r="E71" s="18" t="n">
        <v>42.88291008</v>
      </c>
      <c r="F71" s="20" t="n">
        <v>2.40923657</v>
      </c>
      <c r="G71" s="18" t="n">
        <v>56.57996467</v>
      </c>
      <c r="H71" s="20" t="n">
        <v>2.35033851</v>
      </c>
      <c r="I71" s="18" t="s">
        <v>349</v>
      </c>
      <c r="J71" s="20" t="s">
        <v>349</v>
      </c>
      <c r="K71" s="18" t="n">
        <v>0.29650894</v>
      </c>
      <c r="L71" s="20" t="n">
        <v>0.29606956</v>
      </c>
      <c r="M71" s="18" t="n">
        <v>0</v>
      </c>
      <c r="N71" s="20" t="n">
        <v>0</v>
      </c>
      <c r="O71" s="18" t="n">
        <v>0</v>
      </c>
      <c r="P71" s="20" t="n">
        <v>0</v>
      </c>
      <c r="Q71" s="18" t="n">
        <v>0.24061631</v>
      </c>
      <c r="R71" s="20" t="n">
        <v>0.23799413</v>
      </c>
    </row>
    <row r="72" spans="1:18">
      <c r="A72" s="15" t="s">
        <v>414</v>
      </c>
      <c r="B72" s="17" t="n">
        <v>3889</v>
      </c>
      <c r="C72" s="18">
        <f>(3400.0/B72*100)</f>
        <v/>
      </c>
      <c r="D72" s="19" t="n">
        <v>489</v>
      </c>
      <c r="E72" s="18" t="n">
        <v>43.63434886</v>
      </c>
      <c r="F72" s="20" t="n">
        <v>2.59001797</v>
      </c>
      <c r="G72" s="18" t="n">
        <v>56.36565114</v>
      </c>
      <c r="H72" s="20" t="n">
        <v>2.59001797</v>
      </c>
      <c r="I72" s="18" t="s">
        <v>349</v>
      </c>
      <c r="J72" s="20" t="s">
        <v>349</v>
      </c>
      <c r="K72" s="18" t="n">
        <v>0</v>
      </c>
      <c r="L72" s="20" t="n">
        <v>0</v>
      </c>
      <c r="M72" s="18" t="n">
        <v>0</v>
      </c>
      <c r="N72" s="20" t="n">
        <v>0</v>
      </c>
      <c r="O72" s="18" t="n">
        <v>0</v>
      </c>
      <c r="P72" s="20" t="n">
        <v>0</v>
      </c>
      <c r="Q72" s="18" t="n">
        <v>0</v>
      </c>
      <c r="R72" s="20" t="n">
        <v>0</v>
      </c>
    </row>
    <row r="73" spans="1:18">
      <c r="A73" s="15" t="s">
        <v>415</v>
      </c>
      <c r="B73" s="17" t="n">
        <v>3597</v>
      </c>
      <c r="C73" s="18">
        <f>(3167.0/B73*100)</f>
        <v/>
      </c>
      <c r="D73" s="19" t="n">
        <v>430</v>
      </c>
      <c r="E73" s="18" t="n">
        <v>72.19069863999999</v>
      </c>
      <c r="F73" s="20" t="n">
        <v>2.65075754</v>
      </c>
      <c r="G73" s="18" t="n">
        <v>27.79842392</v>
      </c>
      <c r="H73" s="20" t="n">
        <v>2.65068495</v>
      </c>
      <c r="I73" s="18" t="s">
        <v>349</v>
      </c>
      <c r="J73" s="20" t="s">
        <v>349</v>
      </c>
      <c r="K73" s="18" t="n">
        <v>0</v>
      </c>
      <c r="L73" s="20" t="n">
        <v>0</v>
      </c>
      <c r="M73" s="18" t="n">
        <v>0</v>
      </c>
      <c r="N73" s="20" t="n">
        <v>0</v>
      </c>
      <c r="O73" s="18" t="n">
        <v>0</v>
      </c>
      <c r="P73" s="20" t="n">
        <v>0</v>
      </c>
      <c r="Q73" s="18" t="n">
        <v>0.01087743</v>
      </c>
      <c r="R73" s="20" t="n">
        <v>0.01092868</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(2139.0/B75*100)</f>
        <v/>
      </c>
      <c r="D75" s="19" t="n">
        <v>267</v>
      </c>
      <c r="E75" s="18" t="n">
        <v>77.14256697</v>
      </c>
      <c r="F75" s="20" t="n">
        <v>2.80086344</v>
      </c>
      <c r="G75" s="18" t="n">
        <v>20.13379396</v>
      </c>
      <c r="H75" s="20" t="n">
        <v>2.76103619</v>
      </c>
      <c r="I75" s="18" t="s">
        <v>349</v>
      </c>
      <c r="J75" s="20" t="s">
        <v>349</v>
      </c>
      <c r="K75" s="18" t="n">
        <v>1.31970807</v>
      </c>
      <c r="L75" s="20" t="n">
        <v>0.81516773</v>
      </c>
      <c r="M75" s="18" t="n">
        <v>0</v>
      </c>
      <c r="N75" s="20" t="n">
        <v>0</v>
      </c>
      <c r="O75" s="18" t="n">
        <v>0</v>
      </c>
      <c r="P75" s="20" t="n">
        <v>0</v>
      </c>
      <c r="Q75" s="18" t="n">
        <v>1.40393101</v>
      </c>
      <c r="R75" s="20" t="n">
        <v>0.66468897</v>
      </c>
    </row>
    <row r="76" spans="1:18">
      <c r="A76" s="15" t="s">
        <v>418</v>
      </c>
      <c r="B76" s="17" t="n">
        <v>7052</v>
      </c>
      <c r="C76" s="18">
        <f>(6198.0/B76*100)</f>
        <v/>
      </c>
      <c r="D76" s="19" t="n">
        <v>854</v>
      </c>
      <c r="E76" s="18" t="n">
        <v>61.06787396</v>
      </c>
      <c r="F76" s="20" t="n">
        <v>2.28988598</v>
      </c>
      <c r="G76" s="18" t="n">
        <v>37.91752765</v>
      </c>
      <c r="H76" s="20" t="n">
        <v>2.29302239</v>
      </c>
      <c r="I76" s="18" t="s">
        <v>349</v>
      </c>
      <c r="J76" s="20" t="s">
        <v>349</v>
      </c>
      <c r="K76" s="18" t="n">
        <v>0.66111774</v>
      </c>
      <c r="L76" s="20" t="n">
        <v>0.34585568</v>
      </c>
      <c r="M76" s="18" t="n">
        <v>0</v>
      </c>
      <c r="N76" s="20" t="n">
        <v>0</v>
      </c>
      <c r="O76" s="18" t="n">
        <v>0</v>
      </c>
      <c r="P76" s="20" t="n">
        <v>0</v>
      </c>
      <c r="Q76" s="18" t="n">
        <v>0.35348065</v>
      </c>
      <c r="R76" s="20" t="n">
        <v>0.15548338</v>
      </c>
    </row>
    <row r="77" spans="1:18">
      <c r="A77" s="15" t="s">
        <v>419</v>
      </c>
      <c r="B77" s="17" t="n">
        <v>2908</v>
      </c>
      <c r="C77" s="18">
        <f>(2557.0/B77*100)</f>
        <v/>
      </c>
      <c r="D77" s="19" t="n">
        <v>351</v>
      </c>
      <c r="E77" s="18" t="n">
        <v>66.99258807</v>
      </c>
      <c r="F77" s="20" t="n">
        <v>2.49891105</v>
      </c>
      <c r="G77" s="18" t="n">
        <v>32.33918059</v>
      </c>
      <c r="H77" s="20" t="n">
        <v>2.53908458</v>
      </c>
      <c r="I77" s="18" t="s">
        <v>349</v>
      </c>
      <c r="J77" s="20" t="s">
        <v>349</v>
      </c>
      <c r="K77" s="18" t="n">
        <v>0.53103953</v>
      </c>
      <c r="L77" s="20" t="n">
        <v>0.37652618</v>
      </c>
      <c r="M77" s="18" t="n">
        <v>0</v>
      </c>
      <c r="N77" s="20" t="n">
        <v>0</v>
      </c>
      <c r="O77" s="18" t="n">
        <v>0</v>
      </c>
      <c r="P77" s="20" t="n">
        <v>0</v>
      </c>
      <c r="Q77" s="18" t="n">
        <v>0.13719181</v>
      </c>
      <c r="R77" s="20" t="n">
        <v>0.13787575</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(3641.0/B81*100)</f>
        <v/>
      </c>
      <c r="D81" s="19" t="n">
        <v>522</v>
      </c>
      <c r="E81" s="18" t="n">
        <v>75.68928287999999</v>
      </c>
      <c r="F81" s="20" t="n">
        <v>2.38426926</v>
      </c>
      <c r="G81" s="18" t="n">
        <v>24.31071712</v>
      </c>
      <c r="H81" s="20" t="n">
        <v>2.38426926</v>
      </c>
      <c r="I81" s="18" t="s">
        <v>349</v>
      </c>
      <c r="J81" s="20" t="s">
        <v>349</v>
      </c>
      <c r="K81" s="18" t="n">
        <v>0</v>
      </c>
      <c r="L81" s="20" t="n">
        <v>0</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(6440.0/B7*100)</f>
        <v/>
      </c>
      <c r="D7" s="19" t="n">
        <v>927</v>
      </c>
      <c r="E7" s="18" t="n">
        <v>25.42982463</v>
      </c>
      <c r="F7" s="20" t="n">
        <v>1.76340584</v>
      </c>
      <c r="G7" s="18" t="n">
        <v>70.16198909000001</v>
      </c>
      <c r="H7" s="20" t="n">
        <v>1.86547789</v>
      </c>
      <c r="I7" s="18" t="s">
        <v>349</v>
      </c>
      <c r="J7" s="20" t="s">
        <v>349</v>
      </c>
      <c r="K7" s="18" t="n">
        <v>0.43131175</v>
      </c>
      <c r="L7" s="20" t="n">
        <v>0.26667305</v>
      </c>
      <c r="M7" s="18" t="n">
        <v>0</v>
      </c>
      <c r="N7" s="20" t="n">
        <v>0</v>
      </c>
      <c r="O7" s="18" t="n">
        <v>0</v>
      </c>
      <c r="P7" s="20" t="n">
        <v>0</v>
      </c>
      <c r="Q7" s="18" t="n">
        <v>3.97687453</v>
      </c>
      <c r="R7" s="20" t="n">
        <v>0.73930783</v>
      </c>
    </row>
    <row r="8" spans="1:18">
      <c r="A8" s="15" t="s">
        <v>350</v>
      </c>
      <c r="B8" s="17" t="n">
        <v>3564</v>
      </c>
      <c r="C8" s="18">
        <f>(3125.0/B8*100)</f>
        <v/>
      </c>
      <c r="D8" s="19" t="n">
        <v>439</v>
      </c>
      <c r="E8" s="18" t="n">
        <v>40.87679853</v>
      </c>
      <c r="F8" s="20" t="n">
        <v>2.91571196</v>
      </c>
      <c r="G8" s="18" t="n">
        <v>54.40744068</v>
      </c>
      <c r="H8" s="20" t="n">
        <v>3.137537</v>
      </c>
      <c r="I8" s="18" t="s">
        <v>349</v>
      </c>
      <c r="J8" s="20" t="s">
        <v>349</v>
      </c>
      <c r="K8" s="18" t="n">
        <v>0</v>
      </c>
      <c r="L8" s="20" t="n">
        <v>0</v>
      </c>
      <c r="M8" s="18" t="n">
        <v>0</v>
      </c>
      <c r="N8" s="20" t="n">
        <v>0</v>
      </c>
      <c r="O8" s="18" t="n">
        <v>0</v>
      </c>
      <c r="P8" s="20" t="n">
        <v>0</v>
      </c>
      <c r="Q8" s="18" t="n">
        <v>4.71576079</v>
      </c>
      <c r="R8" s="20" t="n">
        <v>1.45362769</v>
      </c>
    </row>
    <row r="9" spans="1:18">
      <c r="A9" s="15" t="s">
        <v>351</v>
      </c>
      <c r="B9" s="17" t="n">
        <v>4899</v>
      </c>
      <c r="C9" s="18">
        <f>(4334.0/B9*100)</f>
        <v/>
      </c>
      <c r="D9" s="19" t="n">
        <v>565</v>
      </c>
      <c r="E9" s="18" t="n">
        <v>28.2325682</v>
      </c>
      <c r="F9" s="20" t="n">
        <v>1.91584592</v>
      </c>
      <c r="G9" s="18" t="n">
        <v>65.87959758</v>
      </c>
      <c r="H9" s="20" t="n">
        <v>2.13097628</v>
      </c>
      <c r="I9" s="18" t="s">
        <v>349</v>
      </c>
      <c r="J9" s="20" t="s">
        <v>349</v>
      </c>
      <c r="K9" s="18" t="n">
        <v>0.24949195</v>
      </c>
      <c r="L9" s="20" t="n">
        <v>0.24940824</v>
      </c>
      <c r="M9" s="18" t="n">
        <v>0</v>
      </c>
      <c r="N9" s="20" t="n">
        <v>0</v>
      </c>
      <c r="O9" s="18" t="n">
        <v>0</v>
      </c>
      <c r="P9" s="20" t="n">
        <v>0</v>
      </c>
      <c r="Q9" s="18" t="n">
        <v>5.63834227</v>
      </c>
      <c r="R9" s="20" t="n">
        <v>1.16903881</v>
      </c>
    </row>
    <row r="10" spans="1:18">
      <c r="A10" s="15" t="s">
        <v>352</v>
      </c>
      <c r="B10" s="17" t="n">
        <v>10036</v>
      </c>
      <c r="C10" s="18">
        <f>(8821.0/B10*100)</f>
        <v/>
      </c>
      <c r="D10" s="19" t="n">
        <v>1215</v>
      </c>
      <c r="E10" s="18" t="n">
        <v>19.2359186</v>
      </c>
      <c r="F10" s="20" t="n">
        <v>1.49123948</v>
      </c>
      <c r="G10" s="18" t="n">
        <v>78.77007153</v>
      </c>
      <c r="H10" s="20" t="n">
        <v>1.42766541</v>
      </c>
      <c r="I10" s="18" t="s">
        <v>349</v>
      </c>
      <c r="J10" s="20" t="s">
        <v>349</v>
      </c>
      <c r="K10" s="18" t="n">
        <v>0.31877299</v>
      </c>
      <c r="L10" s="20" t="n">
        <v>0.17315051</v>
      </c>
      <c r="M10" s="18" t="n">
        <v>0</v>
      </c>
      <c r="N10" s="20" t="n">
        <v>0</v>
      </c>
      <c r="O10" s="18" t="n">
        <v>0</v>
      </c>
      <c r="P10" s="20" t="n">
        <v>0</v>
      </c>
      <c r="Q10" s="18" t="n">
        <v>1.67523687</v>
      </c>
      <c r="R10" s="20" t="n">
        <v>0.44998651</v>
      </c>
    </row>
    <row r="11" spans="1:18">
      <c r="A11" s="15" t="s">
        <v>353</v>
      </c>
      <c r="B11" s="17" t="n">
        <v>3553</v>
      </c>
      <c r="C11" s="18">
        <f>(3132.0/B11*100)</f>
        <v/>
      </c>
      <c r="D11" s="19" t="n">
        <v>421</v>
      </c>
      <c r="E11" s="18" t="n">
        <v>30.28707304</v>
      </c>
      <c r="F11" s="20" t="n">
        <v>2.72080862</v>
      </c>
      <c r="G11" s="18" t="n">
        <v>61.42239679</v>
      </c>
      <c r="H11" s="20" t="n">
        <v>2.87825244</v>
      </c>
      <c r="I11" s="18" t="s">
        <v>349</v>
      </c>
      <c r="J11" s="20" t="s">
        <v>349</v>
      </c>
      <c r="K11" s="18" t="n">
        <v>0.39672231</v>
      </c>
      <c r="L11" s="20" t="n">
        <v>0.32378132</v>
      </c>
      <c r="M11" s="18" t="n">
        <v>0</v>
      </c>
      <c r="N11" s="20" t="n">
        <v>0</v>
      </c>
      <c r="O11" s="18" t="n">
        <v>0</v>
      </c>
      <c r="P11" s="20" t="n">
        <v>0</v>
      </c>
      <c r="Q11" s="18" t="n">
        <v>7.89380786</v>
      </c>
      <c r="R11" s="20" t="n">
        <v>1.60164907</v>
      </c>
    </row>
    <row r="12" spans="1:18">
      <c r="A12" s="15" t="s">
        <v>354</v>
      </c>
      <c r="B12" s="17" t="n">
        <v>3472</v>
      </c>
      <c r="C12" s="18">
        <f>(3051.0/B12*100)</f>
        <v/>
      </c>
      <c r="D12" s="19" t="n">
        <v>421</v>
      </c>
      <c r="E12" s="18" t="n">
        <v>23.5666474</v>
      </c>
      <c r="F12" s="20" t="n">
        <v>2.49119385</v>
      </c>
      <c r="G12" s="18" t="n">
        <v>71.56982711000001</v>
      </c>
      <c r="H12" s="20" t="n">
        <v>2.65222651</v>
      </c>
      <c r="I12" s="18" t="s">
        <v>349</v>
      </c>
      <c r="J12" s="20" t="s">
        <v>349</v>
      </c>
      <c r="K12" s="18" t="n">
        <v>0</v>
      </c>
      <c r="L12" s="20" t="n">
        <v>0</v>
      </c>
      <c r="M12" s="18" t="n">
        <v>0</v>
      </c>
      <c r="N12" s="20" t="n">
        <v>0</v>
      </c>
      <c r="O12" s="18" t="n">
        <v>0</v>
      </c>
      <c r="P12" s="20" t="n">
        <v>0</v>
      </c>
      <c r="Q12" s="18" t="n">
        <v>4.86352549</v>
      </c>
      <c r="R12" s="20" t="n">
        <v>1.16339762</v>
      </c>
    </row>
    <row r="13" spans="1:18">
      <c r="A13" s="15" t="s">
        <v>355</v>
      </c>
      <c r="B13" s="17" t="n">
        <v>3559</v>
      </c>
      <c r="C13" s="18">
        <f>(3138.0/B13*100)</f>
        <v/>
      </c>
      <c r="D13" s="19" t="n">
        <v>421</v>
      </c>
      <c r="E13" s="18" t="n">
        <v>21.72486938</v>
      </c>
      <c r="F13" s="20" t="n">
        <v>2.58889997</v>
      </c>
      <c r="G13" s="18" t="n">
        <v>73.36544290000001</v>
      </c>
      <c r="H13" s="20" t="n">
        <v>2.80846744</v>
      </c>
      <c r="I13" s="18" t="s">
        <v>349</v>
      </c>
      <c r="J13" s="20" t="s">
        <v>349</v>
      </c>
      <c r="K13" s="18" t="n">
        <v>0.55553017</v>
      </c>
      <c r="L13" s="20" t="n">
        <v>0.56338563</v>
      </c>
      <c r="M13" s="18" t="n">
        <v>0</v>
      </c>
      <c r="N13" s="20" t="n">
        <v>0</v>
      </c>
      <c r="O13" s="18" t="n">
        <v>0</v>
      </c>
      <c r="P13" s="20" t="n">
        <v>0</v>
      </c>
      <c r="Q13" s="18" t="n">
        <v>4.35415755</v>
      </c>
      <c r="R13" s="20" t="n">
        <v>1.11055019</v>
      </c>
    </row>
    <row r="14" spans="1:18">
      <c r="A14" s="15" t="s">
        <v>356</v>
      </c>
      <c r="B14" s="17" t="n">
        <v>2799</v>
      </c>
      <c r="C14" s="18">
        <f>(2474.0/B14*100)</f>
        <v/>
      </c>
      <c r="D14" s="19" t="n">
        <v>325</v>
      </c>
      <c r="E14" s="18" t="n">
        <v>12.57847154</v>
      </c>
      <c r="F14" s="20" t="n">
        <v>2.28315009</v>
      </c>
      <c r="G14" s="18" t="n">
        <v>85.34944005</v>
      </c>
      <c r="H14" s="20" t="n">
        <v>2.33808572</v>
      </c>
      <c r="I14" s="18" t="s">
        <v>349</v>
      </c>
      <c r="J14" s="20" t="s">
        <v>349</v>
      </c>
      <c r="K14" s="18" t="n">
        <v>0.32344812</v>
      </c>
      <c r="L14" s="20" t="n">
        <v>0.326718</v>
      </c>
      <c r="M14" s="18" t="n">
        <v>0</v>
      </c>
      <c r="N14" s="20" t="n">
        <v>0</v>
      </c>
      <c r="O14" s="18" t="n">
        <v>0</v>
      </c>
      <c r="P14" s="20" t="n">
        <v>0</v>
      </c>
      <c r="Q14" s="18" t="n">
        <v>1.74864029</v>
      </c>
      <c r="R14" s="20" t="n">
        <v>0.63745509</v>
      </c>
    </row>
    <row r="15" spans="1:18">
      <c r="A15" s="15" t="s">
        <v>357</v>
      </c>
      <c r="B15" s="17" t="n">
        <v>3019</v>
      </c>
      <c r="C15" s="18">
        <f>(2649.0/B15*100)</f>
        <v/>
      </c>
      <c r="D15" s="19" t="n">
        <v>370</v>
      </c>
      <c r="E15" s="18" t="n">
        <v>23.82350101</v>
      </c>
      <c r="F15" s="20" t="n">
        <v>2.45790863</v>
      </c>
      <c r="G15" s="18" t="n">
        <v>72.65453893999999</v>
      </c>
      <c r="H15" s="20" t="n">
        <v>2.61740781</v>
      </c>
      <c r="I15" s="18" t="s">
        <v>349</v>
      </c>
      <c r="J15" s="20" t="s">
        <v>349</v>
      </c>
      <c r="K15" s="18" t="n">
        <v>0.24304975</v>
      </c>
      <c r="L15" s="20" t="n">
        <v>0.24303682</v>
      </c>
      <c r="M15" s="18" t="n">
        <v>0</v>
      </c>
      <c r="N15" s="20" t="n">
        <v>0</v>
      </c>
      <c r="O15" s="18" t="n">
        <v>0</v>
      </c>
      <c r="P15" s="20" t="n">
        <v>0</v>
      </c>
      <c r="Q15" s="18" t="n">
        <v>3.27891031</v>
      </c>
      <c r="R15" s="20" t="n">
        <v>0.97346336</v>
      </c>
    </row>
    <row r="16" spans="1:18">
      <c r="A16" s="15" t="s">
        <v>358</v>
      </c>
      <c r="B16" s="17" t="n">
        <v>2997</v>
      </c>
      <c r="C16" s="18">
        <f>(2638.0/B16*100)</f>
        <v/>
      </c>
      <c r="D16" s="19" t="n">
        <v>359</v>
      </c>
      <c r="E16" s="18" t="n">
        <v>29.42576105</v>
      </c>
      <c r="F16" s="20" t="n">
        <v>2.44872994</v>
      </c>
      <c r="G16" s="18" t="n">
        <v>61.57090218</v>
      </c>
      <c r="H16" s="20" t="n">
        <v>2.27387321</v>
      </c>
      <c r="I16" s="18" t="s">
        <v>349</v>
      </c>
      <c r="J16" s="20" t="s">
        <v>349</v>
      </c>
      <c r="K16" s="18" t="n">
        <v>0.50519076</v>
      </c>
      <c r="L16" s="20" t="n">
        <v>0.41031992</v>
      </c>
      <c r="M16" s="18" t="n">
        <v>0</v>
      </c>
      <c r="N16" s="20" t="n">
        <v>0</v>
      </c>
      <c r="O16" s="18" t="n">
        <v>0</v>
      </c>
      <c r="P16" s="20" t="n">
        <v>0</v>
      </c>
      <c r="Q16" s="18" t="n">
        <v>8.498146009999999</v>
      </c>
      <c r="R16" s="20" t="n">
        <v>1.31556497</v>
      </c>
    </row>
    <row r="17" spans="1:18">
      <c r="A17" s="15" t="s">
        <v>359</v>
      </c>
      <c r="B17" s="17" t="n">
        <v>3307</v>
      </c>
      <c r="C17" s="18">
        <f>(2890.0/B17*100)</f>
        <v/>
      </c>
      <c r="D17" s="19" t="n">
        <v>417</v>
      </c>
      <c r="E17" s="18" t="n">
        <v>33.13456529</v>
      </c>
      <c r="F17" s="20" t="n">
        <v>2.55437144</v>
      </c>
      <c r="G17" s="18" t="n">
        <v>63.07120287</v>
      </c>
      <c r="H17" s="20" t="n">
        <v>2.58725921</v>
      </c>
      <c r="I17" s="18" t="s">
        <v>349</v>
      </c>
      <c r="J17" s="20" t="s">
        <v>349</v>
      </c>
      <c r="K17" s="18" t="n">
        <v>0.42275412</v>
      </c>
      <c r="L17" s="20" t="n">
        <v>0.30867736</v>
      </c>
      <c r="M17" s="18" t="n">
        <v>0</v>
      </c>
      <c r="N17" s="20" t="n">
        <v>0</v>
      </c>
      <c r="O17" s="18" t="n">
        <v>0</v>
      </c>
      <c r="P17" s="20" t="n">
        <v>0</v>
      </c>
      <c r="Q17" s="18" t="n">
        <v>3.37147772</v>
      </c>
      <c r="R17" s="20" t="n">
        <v>0.8135012</v>
      </c>
    </row>
    <row r="18" spans="1:18">
      <c r="A18" s="15" t="s">
        <v>360</v>
      </c>
      <c r="B18" s="17" t="n">
        <v>2826</v>
      </c>
      <c r="C18" s="18">
        <f>(2485.0/B18*100)</f>
        <v/>
      </c>
      <c r="D18" s="19" t="n">
        <v>341</v>
      </c>
      <c r="E18" s="18" t="n">
        <v>33.31065583</v>
      </c>
      <c r="F18" s="20" t="n">
        <v>3.40437053</v>
      </c>
      <c r="G18" s="18" t="n">
        <v>60.44497967</v>
      </c>
      <c r="H18" s="20" t="n">
        <v>3.15510115</v>
      </c>
      <c r="I18" s="18" t="s">
        <v>349</v>
      </c>
      <c r="J18" s="20" t="s">
        <v>349</v>
      </c>
      <c r="K18" s="18" t="n">
        <v>0.56938298</v>
      </c>
      <c r="L18" s="20" t="n">
        <v>0.5423599</v>
      </c>
      <c r="M18" s="18" t="n">
        <v>0</v>
      </c>
      <c r="N18" s="20" t="n">
        <v>0</v>
      </c>
      <c r="O18" s="18" t="n">
        <v>0</v>
      </c>
      <c r="P18" s="20" t="n">
        <v>0</v>
      </c>
      <c r="Q18" s="18" t="n">
        <v>5.67498153</v>
      </c>
      <c r="R18" s="20" t="n">
        <v>1.43476926</v>
      </c>
    </row>
    <row r="19" spans="1:18">
      <c r="A19" s="15" t="s">
        <v>361</v>
      </c>
      <c r="B19" s="17" t="n">
        <v>2808</v>
      </c>
      <c r="C19" s="18">
        <f>(2459.0/B19*100)</f>
        <v/>
      </c>
      <c r="D19" s="19" t="n">
        <v>349</v>
      </c>
      <c r="E19" s="18" t="n">
        <v>25.87563307</v>
      </c>
      <c r="F19" s="20" t="n">
        <v>2.76402552</v>
      </c>
      <c r="G19" s="18" t="n">
        <v>71.14202118</v>
      </c>
      <c r="H19" s="20" t="n">
        <v>2.76842199</v>
      </c>
      <c r="I19" s="18" t="s">
        <v>349</v>
      </c>
      <c r="J19" s="20" t="s">
        <v>349</v>
      </c>
      <c r="K19" s="18" t="n">
        <v>0</v>
      </c>
      <c r="L19" s="20" t="n">
        <v>0</v>
      </c>
      <c r="M19" s="18" t="n">
        <v>0</v>
      </c>
      <c r="N19" s="20" t="n">
        <v>0</v>
      </c>
      <c r="O19" s="18" t="n">
        <v>0</v>
      </c>
      <c r="P19" s="20" t="n">
        <v>0</v>
      </c>
      <c r="Q19" s="18" t="n">
        <v>2.98234575</v>
      </c>
      <c r="R19" s="20" t="n">
        <v>0.7696415599999999</v>
      </c>
    </row>
    <row r="20" spans="1:18">
      <c r="A20" s="15" t="s">
        <v>362</v>
      </c>
      <c r="B20" s="17" t="n">
        <v>1630</v>
      </c>
      <c r="C20" s="18">
        <f>(1433.0/B20*100)</f>
        <v/>
      </c>
      <c r="D20" s="19" t="n">
        <v>197</v>
      </c>
      <c r="E20" s="18" t="n">
        <v>26.16654471</v>
      </c>
      <c r="F20" s="20" t="n">
        <v>3.04322546</v>
      </c>
      <c r="G20" s="18" t="n">
        <v>69.17204194999999</v>
      </c>
      <c r="H20" s="20" t="n">
        <v>3.246764</v>
      </c>
      <c r="I20" s="18" t="s">
        <v>349</v>
      </c>
      <c r="J20" s="20" t="s">
        <v>349</v>
      </c>
      <c r="K20" s="18" t="n">
        <v>0</v>
      </c>
      <c r="L20" s="20" t="n">
        <v>0</v>
      </c>
      <c r="M20" s="18" t="n">
        <v>0</v>
      </c>
      <c r="N20" s="20" t="n">
        <v>0</v>
      </c>
      <c r="O20" s="18" t="n">
        <v>0</v>
      </c>
      <c r="P20" s="20" t="n">
        <v>0</v>
      </c>
      <c r="Q20" s="18" t="n">
        <v>4.66141335</v>
      </c>
      <c r="R20" s="20" t="n">
        <v>1.4708949</v>
      </c>
    </row>
    <row r="21" spans="1:18">
      <c r="A21" s="15" t="s">
        <v>363</v>
      </c>
      <c r="B21" s="17" t="n">
        <v>2908</v>
      </c>
      <c r="C21" s="18">
        <f>(2413.0/B21*100)</f>
        <v/>
      </c>
      <c r="D21" s="19" t="n">
        <v>495</v>
      </c>
      <c r="E21" s="18" t="n">
        <v>22.14804969</v>
      </c>
      <c r="F21" s="20" t="n">
        <v>2.26583015</v>
      </c>
      <c r="G21" s="18" t="n">
        <v>74.55287164000001</v>
      </c>
      <c r="H21" s="20" t="n">
        <v>2.37988893</v>
      </c>
      <c r="I21" s="18" t="s">
        <v>349</v>
      </c>
      <c r="J21" s="20" t="s">
        <v>349</v>
      </c>
      <c r="K21" s="18" t="n">
        <v>0.18913373</v>
      </c>
      <c r="L21" s="20" t="n">
        <v>0.18853547</v>
      </c>
      <c r="M21" s="18" t="n">
        <v>0</v>
      </c>
      <c r="N21" s="20" t="n">
        <v>0</v>
      </c>
      <c r="O21" s="18" t="n">
        <v>0</v>
      </c>
      <c r="P21" s="20" t="n">
        <v>0</v>
      </c>
      <c r="Q21" s="18" t="n">
        <v>3.10994494</v>
      </c>
      <c r="R21" s="20" t="n">
        <v>0.82035415</v>
      </c>
    </row>
    <row r="22" spans="1:18">
      <c r="A22" s="15" t="s">
        <v>364</v>
      </c>
      <c r="B22" s="17" t="n">
        <v>2931</v>
      </c>
      <c r="C22" s="18">
        <f>(2574.0/B22*100)</f>
        <v/>
      </c>
      <c r="D22" s="19" t="n">
        <v>357</v>
      </c>
      <c r="E22" s="18" t="n">
        <v>26.44219338</v>
      </c>
      <c r="F22" s="20" t="n">
        <v>2.52549558</v>
      </c>
      <c r="G22" s="18" t="n">
        <v>64.77431828</v>
      </c>
      <c r="H22" s="20" t="n">
        <v>3.05701912</v>
      </c>
      <c r="I22" s="18" t="s">
        <v>349</v>
      </c>
      <c r="J22" s="20" t="s">
        <v>349</v>
      </c>
      <c r="K22" s="18" t="n">
        <v>0.7483374699999999</v>
      </c>
      <c r="L22" s="20" t="n">
        <v>0.57766754</v>
      </c>
      <c r="M22" s="18" t="n">
        <v>0</v>
      </c>
      <c r="N22" s="20" t="n">
        <v>0</v>
      </c>
      <c r="O22" s="18" t="n">
        <v>0</v>
      </c>
      <c r="P22" s="20" t="n">
        <v>0</v>
      </c>
      <c r="Q22" s="18" t="n">
        <v>8.035150870000001</v>
      </c>
      <c r="R22" s="20" t="n">
        <v>2.12849703</v>
      </c>
    </row>
    <row r="23" spans="1:18">
      <c r="A23" s="15" t="s">
        <v>365</v>
      </c>
      <c r="B23" s="17" t="n">
        <v>5791</v>
      </c>
      <c r="C23" s="18">
        <f>(5066.0/B23*100)</f>
        <v/>
      </c>
      <c r="D23" s="19" t="n">
        <v>725</v>
      </c>
      <c r="E23" s="18" t="n">
        <v>34.60889892</v>
      </c>
      <c r="F23" s="20" t="n">
        <v>2.40766757</v>
      </c>
      <c r="G23" s="18" t="n">
        <v>61.58884306</v>
      </c>
      <c r="H23" s="20" t="n">
        <v>2.67349401</v>
      </c>
      <c r="I23" s="18" t="s">
        <v>349</v>
      </c>
      <c r="J23" s="20" t="s">
        <v>349</v>
      </c>
      <c r="K23" s="18" t="n">
        <v>0</v>
      </c>
      <c r="L23" s="20" t="n">
        <v>0</v>
      </c>
      <c r="M23" s="18" t="n">
        <v>0</v>
      </c>
      <c r="N23" s="20" t="n">
        <v>0</v>
      </c>
      <c r="O23" s="18" t="n">
        <v>0</v>
      </c>
      <c r="P23" s="20" t="n">
        <v>0</v>
      </c>
      <c r="Q23" s="18" t="n">
        <v>3.80225802</v>
      </c>
      <c r="R23" s="20" t="n">
        <v>1.06806497</v>
      </c>
    </row>
    <row r="24" spans="1:18">
      <c r="A24" s="15" t="s">
        <v>366</v>
      </c>
      <c r="B24" s="17" t="n">
        <v>3338</v>
      </c>
      <c r="C24" s="18">
        <f>(2921.0/B24*100)</f>
        <v/>
      </c>
      <c r="D24" s="19" t="n">
        <v>417</v>
      </c>
      <c r="E24" s="18" t="n">
        <v>17.52353242</v>
      </c>
      <c r="F24" s="20" t="n">
        <v>2.0630229</v>
      </c>
      <c r="G24" s="18" t="n">
        <v>79.10647641</v>
      </c>
      <c r="H24" s="20" t="n">
        <v>2.11933603</v>
      </c>
      <c r="I24" s="18" t="s">
        <v>349</v>
      </c>
      <c r="J24" s="20" t="s">
        <v>349</v>
      </c>
      <c r="K24" s="18" t="n">
        <v>0.17011473</v>
      </c>
      <c r="L24" s="20" t="n">
        <v>0.17093135</v>
      </c>
      <c r="M24" s="18" t="n">
        <v>0</v>
      </c>
      <c r="N24" s="20" t="n">
        <v>0</v>
      </c>
      <c r="O24" s="18" t="n">
        <v>0</v>
      </c>
      <c r="P24" s="20" t="n">
        <v>0</v>
      </c>
      <c r="Q24" s="18" t="n">
        <v>3.19987644</v>
      </c>
      <c r="R24" s="20" t="n">
        <v>0.97035899</v>
      </c>
    </row>
    <row r="25" spans="1:18">
      <c r="A25" s="15" t="s">
        <v>367</v>
      </c>
      <c r="B25" s="17" t="n">
        <v>2912</v>
      </c>
      <c r="C25" s="18">
        <f>(2575.0/B25*100)</f>
        <v/>
      </c>
      <c r="D25" s="19" t="n">
        <v>337</v>
      </c>
      <c r="E25" s="18" t="n">
        <v>19.95165524</v>
      </c>
      <c r="F25" s="20" t="n">
        <v>2.52772613</v>
      </c>
      <c r="G25" s="18" t="n">
        <v>78.36474195</v>
      </c>
      <c r="H25" s="20" t="n">
        <v>2.57318979</v>
      </c>
      <c r="I25" s="18" t="s">
        <v>349</v>
      </c>
      <c r="J25" s="20" t="s">
        <v>349</v>
      </c>
      <c r="K25" s="18" t="n">
        <v>0.31893934</v>
      </c>
      <c r="L25" s="20" t="n">
        <v>0.31804171</v>
      </c>
      <c r="M25" s="18" t="n">
        <v>0</v>
      </c>
      <c r="N25" s="20" t="n">
        <v>0</v>
      </c>
      <c r="O25" s="18" t="n">
        <v>0</v>
      </c>
      <c r="P25" s="20" t="n">
        <v>0</v>
      </c>
      <c r="Q25" s="18" t="n">
        <v>1.36466347</v>
      </c>
      <c r="R25" s="20" t="n">
        <v>0.61297944</v>
      </c>
    </row>
    <row r="26" spans="1:18">
      <c r="A26" s="15" t="s">
        <v>368</v>
      </c>
      <c r="B26" s="17" t="n">
        <v>2450</v>
      </c>
      <c r="C26" s="18">
        <f>(2132.0/B26*100)</f>
        <v/>
      </c>
      <c r="D26" s="19" t="n">
        <v>318</v>
      </c>
      <c r="E26" s="18" t="n">
        <v>33.46100131</v>
      </c>
      <c r="F26" s="20" t="n">
        <v>2.59000181</v>
      </c>
      <c r="G26" s="18" t="n">
        <v>64.67692384999999</v>
      </c>
      <c r="H26" s="20" t="n">
        <v>2.52656424</v>
      </c>
      <c r="I26" s="18" t="s">
        <v>349</v>
      </c>
      <c r="J26" s="20" t="s">
        <v>349</v>
      </c>
      <c r="K26" s="18" t="n">
        <v>0</v>
      </c>
      <c r="L26" s="20" t="n">
        <v>0</v>
      </c>
      <c r="M26" s="18" t="n">
        <v>0</v>
      </c>
      <c r="N26" s="20" t="n">
        <v>0</v>
      </c>
      <c r="O26" s="18" t="n">
        <v>0</v>
      </c>
      <c r="P26" s="20" t="n">
        <v>0</v>
      </c>
      <c r="Q26" s="18" t="n">
        <v>1.86207484</v>
      </c>
      <c r="R26" s="20" t="n">
        <v>0.65548695</v>
      </c>
    </row>
    <row r="27" spans="1:18">
      <c r="A27" s="15" t="s">
        <v>369</v>
      </c>
      <c r="B27" s="17" t="n">
        <v>2616</v>
      </c>
      <c r="C27" s="18">
        <f>(2304.0/B27*100)</f>
        <v/>
      </c>
      <c r="D27" s="19" t="n">
        <v>312</v>
      </c>
      <c r="E27" s="18" t="n">
        <v>38.32663404</v>
      </c>
      <c r="F27" s="20" t="n">
        <v>2.69843191</v>
      </c>
      <c r="G27" s="18" t="n">
        <v>56.49308721</v>
      </c>
      <c r="H27" s="20" t="n">
        <v>2.87761154</v>
      </c>
      <c r="I27" s="18" t="s">
        <v>349</v>
      </c>
      <c r="J27" s="20" t="s">
        <v>349</v>
      </c>
      <c r="K27" s="18" t="n">
        <v>0.31693261</v>
      </c>
      <c r="L27" s="20" t="n">
        <v>0.31377504</v>
      </c>
      <c r="M27" s="18" t="n">
        <v>0</v>
      </c>
      <c r="N27" s="20" t="n">
        <v>0</v>
      </c>
      <c r="O27" s="18" t="n">
        <v>0</v>
      </c>
      <c r="P27" s="20" t="n">
        <v>0</v>
      </c>
      <c r="Q27" s="18" t="n">
        <v>4.86334614</v>
      </c>
      <c r="R27" s="20" t="n">
        <v>1.3071937</v>
      </c>
    </row>
    <row r="28" spans="1:18">
      <c r="A28" s="15" t="s">
        <v>370</v>
      </c>
      <c r="B28" s="17" t="n">
        <v>3765</v>
      </c>
      <c r="C28" s="18">
        <f>(3288.0/B28*100)</f>
        <v/>
      </c>
      <c r="D28" s="19" t="n">
        <v>477</v>
      </c>
      <c r="E28" s="18" t="n">
        <v>53.77153123</v>
      </c>
      <c r="F28" s="20" t="n">
        <v>2.35471481</v>
      </c>
      <c r="G28" s="18" t="n">
        <v>42.2595618</v>
      </c>
      <c r="H28" s="20" t="n">
        <v>2.39301189</v>
      </c>
      <c r="I28" s="18" t="s">
        <v>349</v>
      </c>
      <c r="J28" s="20" t="s">
        <v>349</v>
      </c>
      <c r="K28" s="18" t="n">
        <v>0.35617115</v>
      </c>
      <c r="L28" s="20" t="n">
        <v>0.35586815</v>
      </c>
      <c r="M28" s="18" t="n">
        <v>0</v>
      </c>
      <c r="N28" s="20" t="n">
        <v>0</v>
      </c>
      <c r="O28" s="18" t="n">
        <v>0</v>
      </c>
      <c r="P28" s="20" t="n">
        <v>0</v>
      </c>
      <c r="Q28" s="18" t="n">
        <v>3.61273582</v>
      </c>
      <c r="R28" s="20" t="n">
        <v>1.1912827</v>
      </c>
    </row>
    <row r="29" spans="1:18">
      <c r="A29" s="15" t="s">
        <v>371</v>
      </c>
      <c r="B29" s="17" t="n">
        <v>2685</v>
      </c>
      <c r="C29" s="18">
        <f>(2377.0/B29*100)</f>
        <v/>
      </c>
      <c r="D29" s="19" t="n">
        <v>308</v>
      </c>
      <c r="E29" s="18" t="n">
        <v>31.30684974</v>
      </c>
      <c r="F29" s="20" t="n">
        <v>2.35842666</v>
      </c>
      <c r="G29" s="18" t="n">
        <v>65.42680111</v>
      </c>
      <c r="H29" s="20" t="n">
        <v>2.42455837</v>
      </c>
      <c r="I29" s="18" t="s">
        <v>349</v>
      </c>
      <c r="J29" s="20" t="s">
        <v>349</v>
      </c>
      <c r="K29" s="18" t="n">
        <v>0</v>
      </c>
      <c r="L29" s="20" t="n">
        <v>0</v>
      </c>
      <c r="M29" s="18" t="n">
        <v>0</v>
      </c>
      <c r="N29" s="20" t="n">
        <v>0</v>
      </c>
      <c r="O29" s="18" t="n">
        <v>0</v>
      </c>
      <c r="P29" s="20" t="n">
        <v>0</v>
      </c>
      <c r="Q29" s="18" t="n">
        <v>3.26634915</v>
      </c>
      <c r="R29" s="20" t="n">
        <v>0.62896485</v>
      </c>
    </row>
    <row r="30" spans="1:18">
      <c r="A30" s="15" t="s">
        <v>372</v>
      </c>
      <c r="B30" s="17" t="n">
        <v>2263</v>
      </c>
      <c r="C30" s="18">
        <f>(1972.0/B30*100)</f>
        <v/>
      </c>
      <c r="D30" s="19" t="n">
        <v>291</v>
      </c>
      <c r="E30" s="18" t="n">
        <v>27.08200356</v>
      </c>
      <c r="F30" s="20" t="n">
        <v>3.10137419</v>
      </c>
      <c r="G30" s="18" t="n">
        <v>70.37643876</v>
      </c>
      <c r="H30" s="20" t="n">
        <v>3.27037463</v>
      </c>
      <c r="I30" s="18" t="s">
        <v>349</v>
      </c>
      <c r="J30" s="20" t="s">
        <v>349</v>
      </c>
      <c r="K30" s="18" t="n">
        <v>0.31151908</v>
      </c>
      <c r="L30" s="20" t="n">
        <v>0.31581899</v>
      </c>
      <c r="M30" s="18" t="n">
        <v>0</v>
      </c>
      <c r="N30" s="20" t="n">
        <v>0</v>
      </c>
      <c r="O30" s="18" t="n">
        <v>0</v>
      </c>
      <c r="P30" s="20" t="n">
        <v>0</v>
      </c>
      <c r="Q30" s="18" t="n">
        <v>2.2300386</v>
      </c>
      <c r="R30" s="20" t="n">
        <v>0.90029496</v>
      </c>
    </row>
    <row r="31" spans="1:18">
      <c r="A31" s="15" t="s">
        <v>373</v>
      </c>
      <c r="B31" s="17" t="n">
        <v>2750</v>
      </c>
      <c r="C31" s="18">
        <f>(2421.0/B31*100)</f>
        <v/>
      </c>
      <c r="D31" s="19" t="n">
        <v>329</v>
      </c>
      <c r="E31" s="18" t="n">
        <v>20.21754733</v>
      </c>
      <c r="F31" s="20" t="n">
        <v>2.17932352</v>
      </c>
      <c r="G31" s="18" t="n">
        <v>73.26893771</v>
      </c>
      <c r="H31" s="20" t="n">
        <v>2.32955745</v>
      </c>
      <c r="I31" s="18" t="s">
        <v>349</v>
      </c>
      <c r="J31" s="20" t="s">
        <v>349</v>
      </c>
      <c r="K31" s="18" t="n">
        <v>0.27132233</v>
      </c>
      <c r="L31" s="20" t="n">
        <v>0.2679776</v>
      </c>
      <c r="M31" s="18" t="n">
        <v>0</v>
      </c>
      <c r="N31" s="20" t="n">
        <v>0</v>
      </c>
      <c r="O31" s="18" t="n">
        <v>0</v>
      </c>
      <c r="P31" s="20" t="n">
        <v>0</v>
      </c>
      <c r="Q31" s="18" t="n">
        <v>6.24219264</v>
      </c>
      <c r="R31" s="20" t="n">
        <v>1.41791782</v>
      </c>
    </row>
    <row r="32" spans="1:18">
      <c r="A32" s="15" t="s">
        <v>374</v>
      </c>
      <c r="B32" s="17" t="n">
        <v>2269</v>
      </c>
      <c r="C32" s="18">
        <f>(1904.0/B32*100)</f>
        <v/>
      </c>
      <c r="D32" s="19" t="n">
        <v>365</v>
      </c>
      <c r="E32" s="18" t="n">
        <v>28.11445407</v>
      </c>
      <c r="F32" s="20" t="n">
        <v>2.94981737</v>
      </c>
      <c r="G32" s="18" t="n">
        <v>69.45451428</v>
      </c>
      <c r="H32" s="20" t="n">
        <v>2.97235594</v>
      </c>
      <c r="I32" s="18" t="s">
        <v>349</v>
      </c>
      <c r="J32" s="20" t="s">
        <v>349</v>
      </c>
      <c r="K32" s="18" t="n">
        <v>0</v>
      </c>
      <c r="L32" s="20" t="n">
        <v>0</v>
      </c>
      <c r="M32" s="18" t="n">
        <v>0</v>
      </c>
      <c r="N32" s="20" t="n">
        <v>0</v>
      </c>
      <c r="O32" s="18" t="n">
        <v>0</v>
      </c>
      <c r="P32" s="20" t="n">
        <v>0</v>
      </c>
      <c r="Q32" s="18" t="n">
        <v>2.43103165</v>
      </c>
      <c r="R32" s="20" t="n">
        <v>0.71763163</v>
      </c>
    </row>
    <row r="33" spans="1:18">
      <c r="A33" s="15" t="s">
        <v>375</v>
      </c>
      <c r="B33" s="17" t="n">
        <v>3674</v>
      </c>
      <c r="C33" s="18">
        <f>(3225.0/B33*100)</f>
        <v/>
      </c>
      <c r="D33" s="19" t="n">
        <v>449</v>
      </c>
      <c r="E33" s="18" t="n">
        <v>32.04568041</v>
      </c>
      <c r="F33" s="20" t="n">
        <v>2.18020921</v>
      </c>
      <c r="G33" s="18" t="n">
        <v>62.25996359</v>
      </c>
      <c r="H33" s="20" t="n">
        <v>2.15354432</v>
      </c>
      <c r="I33" s="18" t="s">
        <v>349</v>
      </c>
      <c r="J33" s="20" t="s">
        <v>349</v>
      </c>
      <c r="K33" s="18" t="n">
        <v>1.6600964</v>
      </c>
      <c r="L33" s="20" t="n">
        <v>1.23247556</v>
      </c>
      <c r="M33" s="18" t="n">
        <v>0</v>
      </c>
      <c r="N33" s="20" t="n">
        <v>0</v>
      </c>
      <c r="O33" s="18" t="n">
        <v>0</v>
      </c>
      <c r="P33" s="20" t="n">
        <v>0</v>
      </c>
      <c r="Q33" s="18" t="n">
        <v>4.03425959</v>
      </c>
      <c r="R33" s="20" t="n">
        <v>0.8968648299999999</v>
      </c>
    </row>
    <row r="34" spans="1:18">
      <c r="A34" s="15" t="s">
        <v>376</v>
      </c>
      <c r="B34" s="17" t="n">
        <v>3315</v>
      </c>
      <c r="C34" s="18">
        <f>(2904.0/B34*100)</f>
        <v/>
      </c>
      <c r="D34" s="19" t="n">
        <v>411</v>
      </c>
      <c r="E34" s="18" t="n">
        <v>26.26349792</v>
      </c>
      <c r="F34" s="20" t="n">
        <v>2.10903308</v>
      </c>
      <c r="G34" s="18" t="n">
        <v>68.47725963000001</v>
      </c>
      <c r="H34" s="20" t="n">
        <v>2.47697404</v>
      </c>
      <c r="I34" s="18" t="s">
        <v>349</v>
      </c>
      <c r="J34" s="20" t="s">
        <v>349</v>
      </c>
      <c r="K34" s="18" t="n">
        <v>0</v>
      </c>
      <c r="L34" s="20" t="n">
        <v>0</v>
      </c>
      <c r="M34" s="18" t="n">
        <v>0</v>
      </c>
      <c r="N34" s="20" t="n">
        <v>0</v>
      </c>
      <c r="O34" s="18" t="n">
        <v>0</v>
      </c>
      <c r="P34" s="20" t="n">
        <v>0</v>
      </c>
      <c r="Q34" s="18" t="n">
        <v>5.25924245</v>
      </c>
      <c r="R34" s="20" t="n">
        <v>1.0457791</v>
      </c>
    </row>
    <row r="35" spans="1:18">
      <c r="A35" s="15" t="s">
        <v>377</v>
      </c>
      <c r="B35" s="17" t="n">
        <v>3505</v>
      </c>
      <c r="C35" s="18">
        <f>(3096.0/B35*100)</f>
        <v/>
      </c>
      <c r="D35" s="19" t="n">
        <v>409</v>
      </c>
      <c r="E35" s="18" t="n">
        <v>31.00448715</v>
      </c>
      <c r="F35" s="20" t="n">
        <v>2.9296952</v>
      </c>
      <c r="G35" s="18" t="n">
        <v>63.94602958</v>
      </c>
      <c r="H35" s="20" t="n">
        <v>2.79588219</v>
      </c>
      <c r="I35" s="18" t="s">
        <v>349</v>
      </c>
      <c r="J35" s="20" t="s">
        <v>349</v>
      </c>
      <c r="K35" s="18" t="n">
        <v>0</v>
      </c>
      <c r="L35" s="20" t="n">
        <v>0</v>
      </c>
      <c r="M35" s="18" t="n">
        <v>0</v>
      </c>
      <c r="N35" s="20" t="n">
        <v>0</v>
      </c>
      <c r="O35" s="18" t="n">
        <v>0</v>
      </c>
      <c r="P35" s="20" t="n">
        <v>0</v>
      </c>
      <c r="Q35" s="18" t="n">
        <v>5.04948327</v>
      </c>
      <c r="R35" s="20" t="n">
        <v>1.23176595</v>
      </c>
    </row>
    <row r="36" spans="1:18">
      <c r="A36" s="15" t="s">
        <v>378</v>
      </c>
      <c r="B36" s="17" t="n">
        <v>3332</v>
      </c>
      <c r="C36" s="18">
        <f>(2931.0/B36*100)</f>
        <v/>
      </c>
      <c r="D36" s="19" t="n">
        <v>401</v>
      </c>
      <c r="E36" s="18" t="n">
        <v>26.13286757</v>
      </c>
      <c r="F36" s="20" t="n">
        <v>2.8126187</v>
      </c>
      <c r="G36" s="18" t="n">
        <v>67.5847626</v>
      </c>
      <c r="H36" s="20" t="n">
        <v>2.57979875</v>
      </c>
      <c r="I36" s="18" t="s">
        <v>349</v>
      </c>
      <c r="J36" s="20" t="s">
        <v>349</v>
      </c>
      <c r="K36" s="18" t="n">
        <v>0.25974707</v>
      </c>
      <c r="L36" s="20" t="n">
        <v>0.26566509</v>
      </c>
      <c r="M36" s="18" t="n">
        <v>0</v>
      </c>
      <c r="N36" s="20" t="n">
        <v>0</v>
      </c>
      <c r="O36" s="18" t="n">
        <v>0</v>
      </c>
      <c r="P36" s="20" t="n">
        <v>0</v>
      </c>
      <c r="Q36" s="18" t="n">
        <v>6.02262275</v>
      </c>
      <c r="R36" s="20" t="n">
        <v>1.48350903</v>
      </c>
    </row>
    <row r="37" spans="1:18">
      <c r="A37" s="15" t="s">
        <v>379</v>
      </c>
      <c r="B37" s="17" t="n">
        <v>2727</v>
      </c>
      <c r="C37" s="18">
        <f>(2390.0/B37*100)</f>
        <v/>
      </c>
      <c r="D37" s="19" t="n">
        <v>337</v>
      </c>
      <c r="E37" s="18" t="n">
        <v>23.77164418</v>
      </c>
      <c r="F37" s="20" t="n">
        <v>2.82673075</v>
      </c>
      <c r="G37" s="18" t="n">
        <v>65.48232168</v>
      </c>
      <c r="H37" s="20" t="n">
        <v>3.0429429</v>
      </c>
      <c r="I37" s="18" t="s">
        <v>349</v>
      </c>
      <c r="J37" s="20" t="s">
        <v>349</v>
      </c>
      <c r="K37" s="18" t="n">
        <v>0.5619398799999999</v>
      </c>
      <c r="L37" s="20" t="n">
        <v>0.39601492</v>
      </c>
      <c r="M37" s="18" t="n">
        <v>0</v>
      </c>
      <c r="N37" s="20" t="n">
        <v>0</v>
      </c>
      <c r="O37" s="18" t="n">
        <v>0</v>
      </c>
      <c r="P37" s="20" t="n">
        <v>0</v>
      </c>
      <c r="Q37" s="18" t="n">
        <v>10.18409427</v>
      </c>
      <c r="R37" s="20" t="n">
        <v>2.01011449</v>
      </c>
    </row>
    <row r="38" spans="1:18">
      <c r="A38" s="15" t="s">
        <v>380</v>
      </c>
      <c r="B38" s="17" t="n">
        <v>3053</v>
      </c>
      <c r="C38" s="18">
        <f>(2549.0/B38*100)</f>
        <v/>
      </c>
      <c r="D38" s="19" t="n">
        <v>504</v>
      </c>
      <c r="E38" s="18" t="n">
        <v>33.61786568</v>
      </c>
      <c r="F38" s="20" t="n">
        <v>2.54015689</v>
      </c>
      <c r="G38" s="18" t="n">
        <v>61.99227196</v>
      </c>
      <c r="H38" s="20" t="n">
        <v>2.61843285</v>
      </c>
      <c r="I38" s="18" t="s">
        <v>349</v>
      </c>
      <c r="J38" s="20" t="s">
        <v>349</v>
      </c>
      <c r="K38" s="18" t="n">
        <v>0.19802811</v>
      </c>
      <c r="L38" s="20" t="n">
        <v>0.20383179</v>
      </c>
      <c r="M38" s="18" t="n">
        <v>0</v>
      </c>
      <c r="N38" s="20" t="n">
        <v>0</v>
      </c>
      <c r="O38" s="18" t="n">
        <v>0</v>
      </c>
      <c r="P38" s="20" t="n">
        <v>0</v>
      </c>
      <c r="Q38" s="18" t="n">
        <v>4.19183425</v>
      </c>
      <c r="R38" s="20" t="n">
        <v>0.9029554</v>
      </c>
    </row>
    <row r="39" spans="1:18">
      <c r="A39" s="15" t="s">
        <v>381</v>
      </c>
      <c r="B39" s="17" t="n">
        <v>2957</v>
      </c>
      <c r="C39" s="18">
        <f>(2598.0/B39*100)</f>
        <v/>
      </c>
      <c r="D39" s="19" t="n">
        <v>359</v>
      </c>
      <c r="E39" s="18" t="n">
        <v>34.1844093</v>
      </c>
      <c r="F39" s="20" t="n">
        <v>2.80855783</v>
      </c>
      <c r="G39" s="18" t="n">
        <v>61.3969089</v>
      </c>
      <c r="H39" s="20" t="n">
        <v>3.13580249</v>
      </c>
      <c r="I39" s="18" t="s">
        <v>349</v>
      </c>
      <c r="J39" s="20" t="s">
        <v>349</v>
      </c>
      <c r="K39" s="18" t="n">
        <v>0.50563959</v>
      </c>
      <c r="L39" s="20" t="n">
        <v>0.30241033</v>
      </c>
      <c r="M39" s="18" t="n">
        <v>0</v>
      </c>
      <c r="N39" s="20" t="n">
        <v>0</v>
      </c>
      <c r="O39" s="18" t="n">
        <v>0</v>
      </c>
      <c r="P39" s="20" t="n">
        <v>0</v>
      </c>
      <c r="Q39" s="18" t="n">
        <v>3.91304221</v>
      </c>
      <c r="R39" s="20" t="n">
        <v>1.31125363</v>
      </c>
    </row>
    <row r="40" spans="1:18">
      <c r="A40" s="15" t="s">
        <v>382</v>
      </c>
      <c r="B40" s="17" t="n">
        <v>7235</v>
      </c>
      <c r="C40" s="18">
        <f>(6329.0/B40*100)</f>
        <v/>
      </c>
      <c r="D40" s="19" t="n">
        <v>906</v>
      </c>
      <c r="E40" s="18" t="n">
        <v>25.31914209</v>
      </c>
      <c r="F40" s="20" t="n">
        <v>2.02513728</v>
      </c>
      <c r="G40" s="18" t="n">
        <v>71.35190325000001</v>
      </c>
      <c r="H40" s="20" t="n">
        <v>2.2610112</v>
      </c>
      <c r="I40" s="18" t="s">
        <v>349</v>
      </c>
      <c r="J40" s="20" t="s">
        <v>349</v>
      </c>
      <c r="K40" s="18" t="n">
        <v>0.57540544</v>
      </c>
      <c r="L40" s="20" t="n">
        <v>0.33389516</v>
      </c>
      <c r="M40" s="18" t="n">
        <v>0</v>
      </c>
      <c r="N40" s="20" t="n">
        <v>0</v>
      </c>
      <c r="O40" s="18" t="n">
        <v>0</v>
      </c>
      <c r="P40" s="20" t="n">
        <v>0</v>
      </c>
      <c r="Q40" s="18" t="n">
        <v>2.75354921</v>
      </c>
      <c r="R40" s="20" t="n">
        <v>0.8487709</v>
      </c>
    </row>
    <row r="41" spans="1:18">
      <c r="A41" s="15" t="s">
        <v>383</v>
      </c>
      <c r="B41" s="17" t="n">
        <v>2858</v>
      </c>
      <c r="C41" s="18">
        <f>(2478.0/B41*100)</f>
        <v/>
      </c>
      <c r="D41" s="19" t="n">
        <v>380</v>
      </c>
      <c r="E41" s="18" t="n">
        <v>31.09350589</v>
      </c>
      <c r="F41" s="20" t="n">
        <v>2.6979146</v>
      </c>
      <c r="G41" s="18" t="n">
        <v>66.60898714</v>
      </c>
      <c r="H41" s="20" t="n">
        <v>2.66530254</v>
      </c>
      <c r="I41" s="18" t="s">
        <v>349</v>
      </c>
      <c r="J41" s="20" t="s">
        <v>349</v>
      </c>
      <c r="K41" s="18" t="n">
        <v>0.20070591</v>
      </c>
      <c r="L41" s="20" t="n">
        <v>0.20895262</v>
      </c>
      <c r="M41" s="18" t="n">
        <v>0</v>
      </c>
      <c r="N41" s="20" t="n">
        <v>0</v>
      </c>
      <c r="O41" s="18" t="n">
        <v>0</v>
      </c>
      <c r="P41" s="20" t="n">
        <v>0</v>
      </c>
      <c r="Q41" s="18" t="n">
        <v>2.09680106</v>
      </c>
      <c r="R41" s="20" t="n">
        <v>0.8065884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(9824.0/B46*100)</f>
        <v/>
      </c>
      <c r="D46" s="19" t="n">
        <v>1244</v>
      </c>
      <c r="E46" s="18" t="n">
        <v>62.51931035</v>
      </c>
      <c r="F46" s="20" t="n">
        <v>1.67093391</v>
      </c>
      <c r="G46" s="18" t="n">
        <v>25.34953305</v>
      </c>
      <c r="H46" s="20" t="n">
        <v>1.59970127</v>
      </c>
      <c r="I46" s="18" t="s">
        <v>349</v>
      </c>
      <c r="J46" s="20" t="s">
        <v>349</v>
      </c>
      <c r="K46" s="18" t="n">
        <v>0.94448729</v>
      </c>
      <c r="L46" s="20" t="n">
        <v>0.44020852</v>
      </c>
      <c r="M46" s="18" t="n">
        <v>0</v>
      </c>
      <c r="N46" s="20" t="n">
        <v>0</v>
      </c>
      <c r="O46" s="18" t="n">
        <v>0</v>
      </c>
      <c r="P46" s="20" t="n">
        <v>0</v>
      </c>
      <c r="Q46" s="18" t="n">
        <v>11.1866693</v>
      </c>
      <c r="R46" s="20" t="n">
        <v>1.0350418</v>
      </c>
    </row>
    <row r="47" spans="1:18">
      <c r="A47" s="15" t="s">
        <v>389</v>
      </c>
      <c r="B47" s="17" t="n">
        <v>3105</v>
      </c>
      <c r="C47" s="18">
        <f>(2708.0/B47*100)</f>
        <v/>
      </c>
      <c r="D47" s="19" t="n">
        <v>397</v>
      </c>
      <c r="E47" s="18" t="n">
        <v>42.48316352</v>
      </c>
      <c r="F47" s="20" t="n">
        <v>3.41998847</v>
      </c>
      <c r="G47" s="18" t="n">
        <v>48.29066597</v>
      </c>
      <c r="H47" s="20" t="n">
        <v>3.18945464</v>
      </c>
      <c r="I47" s="18" t="s">
        <v>349</v>
      </c>
      <c r="J47" s="20" t="s">
        <v>349</v>
      </c>
      <c r="K47" s="18" t="n">
        <v>0.49776481</v>
      </c>
      <c r="L47" s="20" t="n">
        <v>0.33798479</v>
      </c>
      <c r="M47" s="18" t="n">
        <v>0</v>
      </c>
      <c r="N47" s="20" t="n">
        <v>0</v>
      </c>
      <c r="O47" s="18" t="n">
        <v>0</v>
      </c>
      <c r="P47" s="20" t="n">
        <v>0</v>
      </c>
      <c r="Q47" s="18" t="n">
        <v>8.7284057</v>
      </c>
      <c r="R47" s="20" t="n">
        <v>1.60952807</v>
      </c>
    </row>
    <row r="48" spans="1:18">
      <c r="A48" s="15" t="s">
        <v>390</v>
      </c>
      <c r="B48" s="17" t="n">
        <v>5159</v>
      </c>
      <c r="C48" s="18">
        <f>(4540.0/B48*100)</f>
        <v/>
      </c>
      <c r="D48" s="19" t="n">
        <v>619</v>
      </c>
      <c r="E48" s="18" t="n">
        <v>23.49405836</v>
      </c>
      <c r="F48" s="20" t="n">
        <v>2.47501668</v>
      </c>
      <c r="G48" s="18" t="n">
        <v>74.53697012000001</v>
      </c>
      <c r="H48" s="20" t="n">
        <v>2.4330982</v>
      </c>
      <c r="I48" s="18" t="s">
        <v>349</v>
      </c>
      <c r="J48" s="20" t="s">
        <v>349</v>
      </c>
      <c r="K48" s="18" t="n">
        <v>0.79601365</v>
      </c>
      <c r="L48" s="20" t="n">
        <v>0.47626269</v>
      </c>
      <c r="M48" s="18" t="n">
        <v>0</v>
      </c>
      <c r="N48" s="20" t="n">
        <v>0</v>
      </c>
      <c r="O48" s="18" t="n">
        <v>0</v>
      </c>
      <c r="P48" s="20" t="n">
        <v>0</v>
      </c>
      <c r="Q48" s="18" t="n">
        <v>1.17295787</v>
      </c>
      <c r="R48" s="20" t="n">
        <v>0.49903493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(4951.0/B50*100)</f>
        <v/>
      </c>
      <c r="D50" s="19" t="n">
        <v>686</v>
      </c>
      <c r="E50" s="18" t="n">
        <v>56.61841064</v>
      </c>
      <c r="F50" s="20" t="n">
        <v>2.63696798</v>
      </c>
      <c r="G50" s="18" t="n">
        <v>38.71633151</v>
      </c>
      <c r="H50" s="20" t="n">
        <v>2.59457572</v>
      </c>
      <c r="I50" s="18" t="s">
        <v>349</v>
      </c>
      <c r="J50" s="20" t="s">
        <v>349</v>
      </c>
      <c r="K50" s="18" t="n">
        <v>0.91267121</v>
      </c>
      <c r="L50" s="20" t="n">
        <v>0.43887869</v>
      </c>
      <c r="M50" s="18" t="n">
        <v>0</v>
      </c>
      <c r="N50" s="20" t="n">
        <v>0</v>
      </c>
      <c r="O50" s="18" t="n">
        <v>0</v>
      </c>
      <c r="P50" s="20" t="n">
        <v>0</v>
      </c>
      <c r="Q50" s="18" t="n">
        <v>3.75258664</v>
      </c>
      <c r="R50" s="20" t="n">
        <v>0.93087913</v>
      </c>
    </row>
    <row r="51" spans="1:18">
      <c r="A51" s="15" t="s">
        <v>393</v>
      </c>
      <c r="B51" s="17" t="n">
        <v>3372</v>
      </c>
      <c r="C51" s="18">
        <f>(2999.0/B51*100)</f>
        <v/>
      </c>
      <c r="D51" s="19" t="n">
        <v>373</v>
      </c>
      <c r="E51" s="18" t="n">
        <v>46.76220728</v>
      </c>
      <c r="F51" s="20" t="n">
        <v>2.51890764</v>
      </c>
      <c r="G51" s="18" t="n">
        <v>47.88909376</v>
      </c>
      <c r="H51" s="20" t="n">
        <v>2.52157636</v>
      </c>
      <c r="I51" s="18" t="s">
        <v>349</v>
      </c>
      <c r="J51" s="20" t="s">
        <v>349</v>
      </c>
      <c r="K51" s="18" t="n">
        <v>1.14808245</v>
      </c>
      <c r="L51" s="20" t="n">
        <v>0.6896077900000001</v>
      </c>
      <c r="M51" s="18" t="n">
        <v>0</v>
      </c>
      <c r="N51" s="20" t="n">
        <v>0</v>
      </c>
      <c r="O51" s="18" t="n">
        <v>0</v>
      </c>
      <c r="P51" s="20" t="n">
        <v>0</v>
      </c>
      <c r="Q51" s="18" t="n">
        <v>4.2006165</v>
      </c>
      <c r="R51" s="20" t="n">
        <v>1.37797471</v>
      </c>
    </row>
    <row r="52" spans="1:18">
      <c r="A52" s="15" t="s">
        <v>394</v>
      </c>
      <c r="B52" s="17" t="n">
        <v>2796</v>
      </c>
      <c r="C52" s="18">
        <f>(2432.0/B52*100)</f>
        <v/>
      </c>
      <c r="D52" s="19" t="n">
        <v>364</v>
      </c>
      <c r="E52" s="18" t="n">
        <v>53.28770902</v>
      </c>
      <c r="F52" s="20" t="n">
        <v>2.67493273</v>
      </c>
      <c r="G52" s="18" t="n">
        <v>37.49817465</v>
      </c>
      <c r="H52" s="20" t="n">
        <v>2.27954496</v>
      </c>
      <c r="I52" s="18" t="s">
        <v>349</v>
      </c>
      <c r="J52" s="20" t="s">
        <v>349</v>
      </c>
      <c r="K52" s="18" t="n">
        <v>0.57030115</v>
      </c>
      <c r="L52" s="20" t="n">
        <v>0.44370296</v>
      </c>
      <c r="M52" s="18" t="n">
        <v>0</v>
      </c>
      <c r="N52" s="20" t="n">
        <v>0</v>
      </c>
      <c r="O52" s="18" t="n">
        <v>0</v>
      </c>
      <c r="P52" s="20" t="n">
        <v>0</v>
      </c>
      <c r="Q52" s="18" t="n">
        <v>8.643815180000001</v>
      </c>
      <c r="R52" s="20" t="n">
        <v>1.5300269</v>
      </c>
    </row>
    <row r="53" spans="1:18">
      <c r="A53" s="15" t="s">
        <v>395</v>
      </c>
      <c r="B53" s="17" t="n">
        <v>2811</v>
      </c>
      <c r="C53" s="18">
        <f>(2457.0/B53*100)</f>
        <v/>
      </c>
      <c r="D53" s="19" t="n">
        <v>354</v>
      </c>
      <c r="E53" s="18" t="n">
        <v>42.5505807</v>
      </c>
      <c r="F53" s="20" t="n">
        <v>2.74051604</v>
      </c>
      <c r="G53" s="18" t="n">
        <v>49.02657858</v>
      </c>
      <c r="H53" s="20" t="n">
        <v>2.91019911</v>
      </c>
      <c r="I53" s="18" t="s">
        <v>349</v>
      </c>
      <c r="J53" s="20" t="s">
        <v>349</v>
      </c>
      <c r="K53" s="18" t="n">
        <v>0.19073775</v>
      </c>
      <c r="L53" s="20" t="n">
        <v>0.19064953</v>
      </c>
      <c r="M53" s="18" t="n">
        <v>0</v>
      </c>
      <c r="N53" s="20" t="n">
        <v>0</v>
      </c>
      <c r="O53" s="18" t="n">
        <v>0</v>
      </c>
      <c r="P53" s="20" t="n">
        <v>0</v>
      </c>
      <c r="Q53" s="18" t="n">
        <v>8.232102960000001</v>
      </c>
      <c r="R53" s="20" t="n">
        <v>1.51788136</v>
      </c>
    </row>
    <row r="54" spans="1:18">
      <c r="A54" s="15" t="s">
        <v>396</v>
      </c>
      <c r="B54" s="17" t="n">
        <v>2266</v>
      </c>
      <c r="C54" s="18">
        <f>(1906.0/B54*100)</f>
        <v/>
      </c>
      <c r="D54" s="19" t="n">
        <v>360</v>
      </c>
      <c r="E54" s="18" t="n">
        <v>65.79076735</v>
      </c>
      <c r="F54" s="20" t="n">
        <v>2.34429055</v>
      </c>
      <c r="G54" s="18" t="n">
        <v>13.39618572</v>
      </c>
      <c r="H54" s="20" t="n">
        <v>1.61859098</v>
      </c>
      <c r="I54" s="18" t="s">
        <v>349</v>
      </c>
      <c r="J54" s="20" t="s">
        <v>349</v>
      </c>
      <c r="K54" s="18" t="n">
        <v>7.35331227</v>
      </c>
      <c r="L54" s="20" t="n">
        <v>1.66131987</v>
      </c>
      <c r="M54" s="18" t="n">
        <v>0</v>
      </c>
      <c r="N54" s="20" t="n">
        <v>0</v>
      </c>
      <c r="O54" s="18" t="n">
        <v>0</v>
      </c>
      <c r="P54" s="20" t="n">
        <v>0</v>
      </c>
      <c r="Q54" s="18" t="n">
        <v>13.45973465</v>
      </c>
      <c r="R54" s="20" t="n">
        <v>2.15011451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(2353.0/B56*100)</f>
        <v/>
      </c>
      <c r="D56" s="19" t="n">
        <v>331</v>
      </c>
      <c r="E56" s="18" t="n">
        <v>25.70805057</v>
      </c>
      <c r="F56" s="20" t="n">
        <v>2.43915161</v>
      </c>
      <c r="G56" s="18" t="n">
        <v>73.25370516</v>
      </c>
      <c r="H56" s="20" t="n">
        <v>2.55547894</v>
      </c>
      <c r="I56" s="18" t="s">
        <v>349</v>
      </c>
      <c r="J56" s="20" t="s">
        <v>349</v>
      </c>
      <c r="K56" s="18" t="n">
        <v>0.24613579</v>
      </c>
      <c r="L56" s="20" t="n">
        <v>0.25101564</v>
      </c>
      <c r="M56" s="18" t="n">
        <v>0</v>
      </c>
      <c r="N56" s="20" t="n">
        <v>0</v>
      </c>
      <c r="O56" s="18" t="n">
        <v>0</v>
      </c>
      <c r="P56" s="20" t="n">
        <v>0</v>
      </c>
      <c r="Q56" s="18" t="n">
        <v>0.79210847</v>
      </c>
      <c r="R56" s="20" t="n">
        <v>0.5611712599999999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(2926.0/B61*100)</f>
        <v/>
      </c>
      <c r="D61" s="19" t="n">
        <v>398</v>
      </c>
      <c r="E61" s="18" t="n">
        <v>29.19165612</v>
      </c>
      <c r="F61" s="20" t="n">
        <v>2.71817333</v>
      </c>
      <c r="G61" s="18" t="n">
        <v>67.1613777</v>
      </c>
      <c r="H61" s="20" t="n">
        <v>2.79534588</v>
      </c>
      <c r="I61" s="18" t="s">
        <v>349</v>
      </c>
      <c r="J61" s="20" t="s">
        <v>349</v>
      </c>
      <c r="K61" s="18" t="n">
        <v>0</v>
      </c>
      <c r="L61" s="20" t="n">
        <v>0</v>
      </c>
      <c r="M61" s="18" t="n">
        <v>0</v>
      </c>
      <c r="N61" s="20" t="n">
        <v>0</v>
      </c>
      <c r="O61" s="18" t="n">
        <v>0</v>
      </c>
      <c r="P61" s="20" t="n">
        <v>0</v>
      </c>
      <c r="Q61" s="18" t="n">
        <v>3.64696617</v>
      </c>
      <c r="R61" s="20" t="n">
        <v>0.94398357</v>
      </c>
    </row>
    <row r="62" spans="1:18">
      <c r="A62" s="15" t="s">
        <v>404</v>
      </c>
      <c r="B62" s="17" t="n">
        <v>2246</v>
      </c>
      <c r="C62" s="18">
        <f>(1965.0/B62*100)</f>
        <v/>
      </c>
      <c r="D62" s="19" t="n">
        <v>281</v>
      </c>
      <c r="E62" s="18" t="n">
        <v>26.69799365</v>
      </c>
      <c r="F62" s="20" t="n">
        <v>2.67786406</v>
      </c>
      <c r="G62" s="18" t="n">
        <v>72.94888299</v>
      </c>
      <c r="H62" s="20" t="n">
        <v>2.70539552</v>
      </c>
      <c r="I62" s="18" t="s">
        <v>349</v>
      </c>
      <c r="J62" s="20" t="s">
        <v>349</v>
      </c>
      <c r="K62" s="18" t="n">
        <v>0</v>
      </c>
      <c r="L62" s="20" t="n">
        <v>0</v>
      </c>
      <c r="M62" s="18" t="n">
        <v>0</v>
      </c>
      <c r="N62" s="20" t="n">
        <v>0</v>
      </c>
      <c r="O62" s="18" t="n">
        <v>0</v>
      </c>
      <c r="P62" s="20" t="n">
        <v>0</v>
      </c>
      <c r="Q62" s="18" t="n">
        <v>0.35312335</v>
      </c>
      <c r="R62" s="20" t="n">
        <v>0.35285276</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(2542.0/B66*100)</f>
        <v/>
      </c>
      <c r="D66" s="19" t="n">
        <v>352</v>
      </c>
      <c r="E66" s="18" t="n">
        <v>41.53077975</v>
      </c>
      <c r="F66" s="20" t="n">
        <v>2.819974</v>
      </c>
      <c r="G66" s="18" t="n">
        <v>42.37227274</v>
      </c>
      <c r="H66" s="20" t="n">
        <v>2.89103117</v>
      </c>
      <c r="I66" s="18" t="s">
        <v>349</v>
      </c>
      <c r="J66" s="20" t="s">
        <v>349</v>
      </c>
      <c r="K66" s="18" t="n">
        <v>0.53982938</v>
      </c>
      <c r="L66" s="20" t="n">
        <v>0.3828865</v>
      </c>
      <c r="M66" s="18" t="n">
        <v>0</v>
      </c>
      <c r="N66" s="20" t="n">
        <v>0</v>
      </c>
      <c r="O66" s="18" t="n">
        <v>0</v>
      </c>
      <c r="P66" s="20" t="n">
        <v>0</v>
      </c>
      <c r="Q66" s="18" t="n">
        <v>15.55711813</v>
      </c>
      <c r="R66" s="20" t="n">
        <v>2.03160033</v>
      </c>
    </row>
    <row r="67" spans="1:18">
      <c r="A67" s="15" t="s">
        <v>409</v>
      </c>
      <c r="B67" s="17" t="n">
        <v>3511</v>
      </c>
      <c r="C67" s="18">
        <f>(3082.0/B67*100)</f>
        <v/>
      </c>
      <c r="D67" s="19" t="n">
        <v>429</v>
      </c>
      <c r="E67" s="18" t="n">
        <v>58.01448789</v>
      </c>
      <c r="F67" s="20" t="n">
        <v>2.69571313</v>
      </c>
      <c r="G67" s="18" t="n">
        <v>33.88962566</v>
      </c>
      <c r="H67" s="20" t="n">
        <v>2.70683587</v>
      </c>
      <c r="I67" s="18" t="s">
        <v>349</v>
      </c>
      <c r="J67" s="20" t="s">
        <v>349</v>
      </c>
      <c r="K67" s="18" t="n">
        <v>0.18461069</v>
      </c>
      <c r="L67" s="20" t="n">
        <v>0.18989808</v>
      </c>
      <c r="M67" s="18" t="n">
        <v>0</v>
      </c>
      <c r="N67" s="20" t="n">
        <v>0</v>
      </c>
      <c r="O67" s="18" t="n">
        <v>0</v>
      </c>
      <c r="P67" s="20" t="n">
        <v>0</v>
      </c>
      <c r="Q67" s="18" t="n">
        <v>7.91127576</v>
      </c>
      <c r="R67" s="20" t="n">
        <v>1.32266187</v>
      </c>
    </row>
    <row r="68" spans="1:18">
      <c r="A68" s="15" t="s">
        <v>410</v>
      </c>
      <c r="B68" s="17" t="n">
        <v>6049</v>
      </c>
      <c r="C68" s="18">
        <f>(5057.0/B68*100)</f>
        <v/>
      </c>
      <c r="D68" s="19" t="n">
        <v>992</v>
      </c>
      <c r="E68" s="18" t="n">
        <v>54.54151527</v>
      </c>
      <c r="F68" s="20" t="n">
        <v>1.60658625</v>
      </c>
      <c r="G68" s="18" t="n">
        <v>35.98044609</v>
      </c>
      <c r="H68" s="20" t="n">
        <v>1.65447917</v>
      </c>
      <c r="I68" s="18" t="s">
        <v>349</v>
      </c>
      <c r="J68" s="20" t="s">
        <v>349</v>
      </c>
      <c r="K68" s="18" t="n">
        <v>2.47045332</v>
      </c>
      <c r="L68" s="20" t="n">
        <v>0.47654602</v>
      </c>
      <c r="M68" s="18" t="n">
        <v>0</v>
      </c>
      <c r="N68" s="20" t="n">
        <v>0</v>
      </c>
      <c r="O68" s="18" t="n">
        <v>0</v>
      </c>
      <c r="P68" s="20" t="n">
        <v>0</v>
      </c>
      <c r="Q68" s="18" t="n">
        <v>7.00758531</v>
      </c>
      <c r="R68" s="20" t="n">
        <v>0.82411913</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(2547.0/B70*100)</f>
        <v/>
      </c>
      <c r="D70" s="19" t="n">
        <v>382</v>
      </c>
      <c r="E70" s="18" t="n">
        <v>22.42518799</v>
      </c>
      <c r="F70" s="20" t="n">
        <v>1.82629556</v>
      </c>
      <c r="G70" s="18" t="n">
        <v>75.29905324000001</v>
      </c>
      <c r="H70" s="20" t="n">
        <v>1.97380033</v>
      </c>
      <c r="I70" s="18" t="s">
        <v>349</v>
      </c>
      <c r="J70" s="20" t="s">
        <v>349</v>
      </c>
      <c r="K70" s="18" t="n">
        <v>0</v>
      </c>
      <c r="L70" s="20" t="n">
        <v>0</v>
      </c>
      <c r="M70" s="18" t="n">
        <v>0</v>
      </c>
      <c r="N70" s="20" t="n">
        <v>0</v>
      </c>
      <c r="O70" s="18" t="n">
        <v>0</v>
      </c>
      <c r="P70" s="20" t="n">
        <v>0</v>
      </c>
      <c r="Q70" s="18" t="n">
        <v>2.27575877</v>
      </c>
      <c r="R70" s="20" t="n">
        <v>0.74425379</v>
      </c>
    </row>
    <row r="71" spans="1:18">
      <c r="A71" s="15" t="s">
        <v>413</v>
      </c>
      <c r="B71" s="17" t="n">
        <v>3142</v>
      </c>
      <c r="C71" s="18">
        <f>(2744.0/B71*100)</f>
        <v/>
      </c>
      <c r="D71" s="19" t="n">
        <v>398</v>
      </c>
      <c r="E71" s="18" t="n">
        <v>24.39706752</v>
      </c>
      <c r="F71" s="20" t="n">
        <v>2.17321929</v>
      </c>
      <c r="G71" s="18" t="n">
        <v>73.61432143</v>
      </c>
      <c r="H71" s="20" t="n">
        <v>2.36846121</v>
      </c>
      <c r="I71" s="18" t="s">
        <v>349</v>
      </c>
      <c r="J71" s="20" t="s">
        <v>349</v>
      </c>
      <c r="K71" s="18" t="n">
        <v>0.29650894</v>
      </c>
      <c r="L71" s="20" t="n">
        <v>0.29606956</v>
      </c>
      <c r="M71" s="18" t="n">
        <v>0</v>
      </c>
      <c r="N71" s="20" t="n">
        <v>0</v>
      </c>
      <c r="O71" s="18" t="n">
        <v>0</v>
      </c>
      <c r="P71" s="20" t="n">
        <v>0</v>
      </c>
      <c r="Q71" s="18" t="n">
        <v>1.69210211</v>
      </c>
      <c r="R71" s="20" t="n">
        <v>0.58804367</v>
      </c>
    </row>
    <row r="72" spans="1:18">
      <c r="A72" s="15" t="s">
        <v>414</v>
      </c>
      <c r="B72" s="17" t="n">
        <v>3889</v>
      </c>
      <c r="C72" s="18">
        <f>(3400.0/B72*100)</f>
        <v/>
      </c>
      <c r="D72" s="19" t="n">
        <v>489</v>
      </c>
      <c r="E72" s="18" t="n">
        <v>26.39782249</v>
      </c>
      <c r="F72" s="20" t="n">
        <v>1.84070791</v>
      </c>
      <c r="G72" s="18" t="n">
        <v>71.54271445000001</v>
      </c>
      <c r="H72" s="20" t="n">
        <v>1.87128589</v>
      </c>
      <c r="I72" s="18" t="s">
        <v>349</v>
      </c>
      <c r="J72" s="20" t="s">
        <v>349</v>
      </c>
      <c r="K72" s="18" t="n">
        <v>0</v>
      </c>
      <c r="L72" s="20" t="n">
        <v>0</v>
      </c>
      <c r="M72" s="18" t="n">
        <v>0</v>
      </c>
      <c r="N72" s="20" t="n">
        <v>0</v>
      </c>
      <c r="O72" s="18" t="n">
        <v>0</v>
      </c>
      <c r="P72" s="20" t="n">
        <v>0</v>
      </c>
      <c r="Q72" s="18" t="n">
        <v>2.05946306</v>
      </c>
      <c r="R72" s="20" t="n">
        <v>0.55459253</v>
      </c>
    </row>
    <row r="73" spans="1:18">
      <c r="A73" s="15" t="s">
        <v>415</v>
      </c>
      <c r="B73" s="17" t="n">
        <v>3597</v>
      </c>
      <c r="C73" s="18">
        <f>(3170.0/B73*100)</f>
        <v/>
      </c>
      <c r="D73" s="19" t="n">
        <v>427</v>
      </c>
      <c r="E73" s="18" t="n">
        <v>61.91369497</v>
      </c>
      <c r="F73" s="20" t="n">
        <v>3.20674807</v>
      </c>
      <c r="G73" s="18" t="n">
        <v>36.75057025</v>
      </c>
      <c r="H73" s="20" t="n">
        <v>3.11145455</v>
      </c>
      <c r="I73" s="18" t="s">
        <v>349</v>
      </c>
      <c r="J73" s="20" t="s">
        <v>349</v>
      </c>
      <c r="K73" s="18" t="n">
        <v>0</v>
      </c>
      <c r="L73" s="20" t="n">
        <v>0</v>
      </c>
      <c r="M73" s="18" t="n">
        <v>0</v>
      </c>
      <c r="N73" s="20" t="n">
        <v>0</v>
      </c>
      <c r="O73" s="18" t="n">
        <v>0</v>
      </c>
      <c r="P73" s="20" t="n">
        <v>0</v>
      </c>
      <c r="Q73" s="18" t="n">
        <v>1.33573478</v>
      </c>
      <c r="R73" s="20" t="n">
        <v>0.64178228</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(2140.0/B75*100)</f>
        <v/>
      </c>
      <c r="D75" s="19" t="n">
        <v>266</v>
      </c>
      <c r="E75" s="18" t="n">
        <v>71.78428268</v>
      </c>
      <c r="F75" s="20" t="n">
        <v>3.20413909</v>
      </c>
      <c r="G75" s="18" t="n">
        <v>15.51391733</v>
      </c>
      <c r="H75" s="20" t="n">
        <v>2.67738421</v>
      </c>
      <c r="I75" s="18" t="s">
        <v>349</v>
      </c>
      <c r="J75" s="20" t="s">
        <v>349</v>
      </c>
      <c r="K75" s="18" t="n">
        <v>1.32625014</v>
      </c>
      <c r="L75" s="20" t="n">
        <v>0.81868242</v>
      </c>
      <c r="M75" s="18" t="n">
        <v>0</v>
      </c>
      <c r="N75" s="20" t="n">
        <v>0</v>
      </c>
      <c r="O75" s="18" t="n">
        <v>0</v>
      </c>
      <c r="P75" s="20" t="n">
        <v>0</v>
      </c>
      <c r="Q75" s="18" t="n">
        <v>11.37554984</v>
      </c>
      <c r="R75" s="20" t="n">
        <v>1.99059063</v>
      </c>
    </row>
    <row r="76" spans="1:18">
      <c r="A76" s="15" t="s">
        <v>418</v>
      </c>
      <c r="B76" s="17" t="n">
        <v>7052</v>
      </c>
      <c r="C76" s="18">
        <f>(6198.0/B76*100)</f>
        <v/>
      </c>
      <c r="D76" s="19" t="n">
        <v>854</v>
      </c>
      <c r="E76" s="18" t="n">
        <v>53.3208616</v>
      </c>
      <c r="F76" s="20" t="n">
        <v>1.95802851</v>
      </c>
      <c r="G76" s="18" t="n">
        <v>42.44158697</v>
      </c>
      <c r="H76" s="20" t="n">
        <v>1.99263863</v>
      </c>
      <c r="I76" s="18" t="s">
        <v>349</v>
      </c>
      <c r="J76" s="20" t="s">
        <v>349</v>
      </c>
      <c r="K76" s="18" t="n">
        <v>0.75479189</v>
      </c>
      <c r="L76" s="20" t="n">
        <v>0.35849157</v>
      </c>
      <c r="M76" s="18" t="n">
        <v>0</v>
      </c>
      <c r="N76" s="20" t="n">
        <v>0</v>
      </c>
      <c r="O76" s="18" t="n">
        <v>0</v>
      </c>
      <c r="P76" s="20" t="n">
        <v>0</v>
      </c>
      <c r="Q76" s="18" t="n">
        <v>3.48275953</v>
      </c>
      <c r="R76" s="20" t="n">
        <v>0.69801734</v>
      </c>
    </row>
    <row r="77" spans="1:18">
      <c r="A77" s="15" t="s">
        <v>419</v>
      </c>
      <c r="B77" s="17" t="n">
        <v>2908</v>
      </c>
      <c r="C77" s="18">
        <f>(2560.0/B77*100)</f>
        <v/>
      </c>
      <c r="D77" s="19" t="n">
        <v>348</v>
      </c>
      <c r="E77" s="18" t="n">
        <v>37.47598054</v>
      </c>
      <c r="F77" s="20" t="n">
        <v>2.87940958</v>
      </c>
      <c r="G77" s="18" t="n">
        <v>53.40595582</v>
      </c>
      <c r="H77" s="20" t="n">
        <v>2.95003728</v>
      </c>
      <c r="I77" s="18" t="s">
        <v>349</v>
      </c>
      <c r="J77" s="20" t="s">
        <v>349</v>
      </c>
      <c r="K77" s="18" t="n">
        <v>1.25463078</v>
      </c>
      <c r="L77" s="20" t="n">
        <v>0.67827607</v>
      </c>
      <c r="M77" s="18" t="n">
        <v>0</v>
      </c>
      <c r="N77" s="20" t="n">
        <v>0</v>
      </c>
      <c r="O77" s="18" t="n">
        <v>0</v>
      </c>
      <c r="P77" s="20" t="n">
        <v>0</v>
      </c>
      <c r="Q77" s="18" t="n">
        <v>7.86343287</v>
      </c>
      <c r="R77" s="20" t="n">
        <v>1.79872015</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(3641.0/B81*100)</f>
        <v/>
      </c>
      <c r="D81" s="19" t="n">
        <v>522</v>
      </c>
      <c r="E81" s="18" t="n">
        <v>66.53798635</v>
      </c>
      <c r="F81" s="20" t="n">
        <v>2.46869661</v>
      </c>
      <c r="G81" s="18" t="n">
        <v>30.99330444</v>
      </c>
      <c r="H81" s="20" t="n">
        <v>2.37620868</v>
      </c>
      <c r="I81" s="18" t="s">
        <v>349</v>
      </c>
      <c r="J81" s="20" t="s">
        <v>349</v>
      </c>
      <c r="K81" s="18" t="n">
        <v>0</v>
      </c>
      <c r="L81" s="20" t="n">
        <v>0</v>
      </c>
      <c r="M81" s="18" t="n">
        <v>0</v>
      </c>
      <c r="N81" s="20" t="n">
        <v>0</v>
      </c>
      <c r="O81" s="18" t="n">
        <v>0</v>
      </c>
      <c r="P81" s="20" t="n">
        <v>0</v>
      </c>
      <c r="Q81" s="18" t="n">
        <v>2.46870921</v>
      </c>
      <c r="R81" s="20" t="n">
        <v>0.80912182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(6439.0/B7*100)</f>
        <v/>
      </c>
      <c r="D7" s="19" t="n">
        <v>928</v>
      </c>
      <c r="E7" s="18" t="n">
        <v>66.21920966</v>
      </c>
      <c r="F7" s="20" t="n">
        <v>1.58540597</v>
      </c>
      <c r="G7" s="18" t="n">
        <v>10.04632367</v>
      </c>
      <c r="H7" s="20" t="n">
        <v>1.1251112</v>
      </c>
      <c r="I7" s="18" t="s">
        <v>349</v>
      </c>
      <c r="J7" s="20" t="s">
        <v>349</v>
      </c>
      <c r="K7" s="18" t="n">
        <v>0.42983945</v>
      </c>
      <c r="L7" s="20" t="n">
        <v>0.26584263</v>
      </c>
      <c r="M7" s="18" t="n">
        <v>0</v>
      </c>
      <c r="N7" s="20" t="n">
        <v>0</v>
      </c>
      <c r="O7" s="18" t="n">
        <v>0</v>
      </c>
      <c r="P7" s="20" t="n">
        <v>0</v>
      </c>
      <c r="Q7" s="18" t="n">
        <v>23.30462722</v>
      </c>
      <c r="R7" s="20" t="n">
        <v>1.56537718</v>
      </c>
    </row>
    <row r="8" spans="1:18">
      <c r="A8" s="15" t="s">
        <v>350</v>
      </c>
      <c r="B8" s="17" t="n">
        <v>3564</v>
      </c>
      <c r="C8" s="18">
        <f>(3126.0/B8*100)</f>
        <v/>
      </c>
      <c r="D8" s="19" t="n">
        <v>438</v>
      </c>
      <c r="E8" s="18" t="n">
        <v>64.55178402</v>
      </c>
      <c r="F8" s="20" t="n">
        <v>2.34343734</v>
      </c>
      <c r="G8" s="18" t="n">
        <v>11.40864024</v>
      </c>
      <c r="H8" s="20" t="n">
        <v>1.57278793</v>
      </c>
      <c r="I8" s="18" t="s">
        <v>349</v>
      </c>
      <c r="J8" s="20" t="s">
        <v>349</v>
      </c>
      <c r="K8" s="18" t="n">
        <v>0</v>
      </c>
      <c r="L8" s="20" t="n">
        <v>0</v>
      </c>
      <c r="M8" s="18" t="n">
        <v>0</v>
      </c>
      <c r="N8" s="20" t="n">
        <v>0</v>
      </c>
      <c r="O8" s="18" t="n">
        <v>0</v>
      </c>
      <c r="P8" s="20" t="n">
        <v>0</v>
      </c>
      <c r="Q8" s="18" t="n">
        <v>24.03957574</v>
      </c>
      <c r="R8" s="20" t="n">
        <v>2.35968782</v>
      </c>
    </row>
    <row r="9" spans="1:18">
      <c r="A9" s="15" t="s">
        <v>351</v>
      </c>
      <c r="B9" s="17" t="n">
        <v>4899</v>
      </c>
      <c r="C9" s="18">
        <f>(4334.0/B9*100)</f>
        <v/>
      </c>
      <c r="D9" s="19" t="n">
        <v>565</v>
      </c>
      <c r="E9" s="18" t="n">
        <v>56.79330654</v>
      </c>
      <c r="F9" s="20" t="n">
        <v>2.18268604</v>
      </c>
      <c r="G9" s="18" t="n">
        <v>13.6802645</v>
      </c>
      <c r="H9" s="20" t="n">
        <v>1.114588</v>
      </c>
      <c r="I9" s="18" t="s">
        <v>349</v>
      </c>
      <c r="J9" s="20" t="s">
        <v>349</v>
      </c>
      <c r="K9" s="18" t="n">
        <v>0.45136408</v>
      </c>
      <c r="L9" s="20" t="n">
        <v>0.30753504</v>
      </c>
      <c r="M9" s="18" t="n">
        <v>0.40550875</v>
      </c>
      <c r="N9" s="20" t="n">
        <v>0.31204935</v>
      </c>
      <c r="O9" s="18" t="n">
        <v>0</v>
      </c>
      <c r="P9" s="20" t="n">
        <v>0</v>
      </c>
      <c r="Q9" s="18" t="n">
        <v>28.66955612</v>
      </c>
      <c r="R9" s="20" t="n">
        <v>2.23573565</v>
      </c>
    </row>
    <row r="10" spans="1:18">
      <c r="A10" s="15" t="s">
        <v>352</v>
      </c>
      <c r="B10" s="17" t="n">
        <v>10036</v>
      </c>
      <c r="C10" s="18">
        <f>(8822.0/B10*100)</f>
        <v/>
      </c>
      <c r="D10" s="19" t="n">
        <v>1214</v>
      </c>
      <c r="E10" s="18" t="n">
        <v>74.50174674</v>
      </c>
      <c r="F10" s="20" t="n">
        <v>1.72711978</v>
      </c>
      <c r="G10" s="18" t="n">
        <v>12.42151911</v>
      </c>
      <c r="H10" s="20" t="n">
        <v>1.39749864</v>
      </c>
      <c r="I10" s="18" t="s">
        <v>349</v>
      </c>
      <c r="J10" s="20" t="s">
        <v>349</v>
      </c>
      <c r="K10" s="18" t="n">
        <v>0.52410649</v>
      </c>
      <c r="L10" s="20" t="n">
        <v>0.22375123</v>
      </c>
      <c r="M10" s="18" t="n">
        <v>0.11912687</v>
      </c>
      <c r="N10" s="20" t="n">
        <v>0.05872455</v>
      </c>
      <c r="O10" s="18" t="n">
        <v>0</v>
      </c>
      <c r="P10" s="20" t="n">
        <v>0</v>
      </c>
      <c r="Q10" s="18" t="n">
        <v>12.43350079</v>
      </c>
      <c r="R10" s="20" t="n">
        <v>1.28662777</v>
      </c>
    </row>
    <row r="11" spans="1:18">
      <c r="A11" s="15" t="s">
        <v>353</v>
      </c>
      <c r="B11" s="17" t="n">
        <v>3553</v>
      </c>
      <c r="C11" s="18">
        <f>(3132.0/B11*100)</f>
        <v/>
      </c>
      <c r="D11" s="19" t="n">
        <v>421</v>
      </c>
      <c r="E11" s="18" t="n">
        <v>61.84971597</v>
      </c>
      <c r="F11" s="20" t="n">
        <v>2.81366709</v>
      </c>
      <c r="G11" s="18" t="n">
        <v>1.83587652</v>
      </c>
      <c r="H11" s="20" t="n">
        <v>0.62344701</v>
      </c>
      <c r="I11" s="18" t="s">
        <v>349</v>
      </c>
      <c r="J11" s="20" t="s">
        <v>349</v>
      </c>
      <c r="K11" s="18" t="n">
        <v>0.39672231</v>
      </c>
      <c r="L11" s="20" t="n">
        <v>0.32378132</v>
      </c>
      <c r="M11" s="18" t="n">
        <v>0</v>
      </c>
      <c r="N11" s="20" t="n">
        <v>0</v>
      </c>
      <c r="O11" s="18" t="n">
        <v>0</v>
      </c>
      <c r="P11" s="20" t="n">
        <v>0</v>
      </c>
      <c r="Q11" s="18" t="n">
        <v>35.9176852</v>
      </c>
      <c r="R11" s="20" t="n">
        <v>2.7292817</v>
      </c>
    </row>
    <row r="12" spans="1:18">
      <c r="A12" s="15" t="s">
        <v>354</v>
      </c>
      <c r="B12" s="17" t="n">
        <v>3472</v>
      </c>
      <c r="C12" s="18">
        <f>(3052.0/B12*100)</f>
        <v/>
      </c>
      <c r="D12" s="19" t="n">
        <v>420</v>
      </c>
      <c r="E12" s="18" t="n">
        <v>58.52581837</v>
      </c>
      <c r="F12" s="20" t="n">
        <v>2.82637171</v>
      </c>
      <c r="G12" s="18" t="n">
        <v>8.791538579999999</v>
      </c>
      <c r="H12" s="20" t="n">
        <v>1.79339441</v>
      </c>
      <c r="I12" s="18" t="s">
        <v>349</v>
      </c>
      <c r="J12" s="20" t="s">
        <v>349</v>
      </c>
      <c r="K12" s="18" t="n">
        <v>0</v>
      </c>
      <c r="L12" s="20" t="n">
        <v>0</v>
      </c>
      <c r="M12" s="18" t="n">
        <v>0</v>
      </c>
      <c r="N12" s="20" t="n">
        <v>0</v>
      </c>
      <c r="O12" s="18" t="n">
        <v>0</v>
      </c>
      <c r="P12" s="20" t="n">
        <v>0</v>
      </c>
      <c r="Q12" s="18" t="n">
        <v>32.68264306</v>
      </c>
      <c r="R12" s="20" t="n">
        <v>2.37178086</v>
      </c>
    </row>
    <row r="13" spans="1:18">
      <c r="A13" s="15" t="s">
        <v>355</v>
      </c>
      <c r="B13" s="17" t="n">
        <v>3559</v>
      </c>
      <c r="C13" s="18">
        <f>(3138.0/B13*100)</f>
        <v/>
      </c>
      <c r="D13" s="19" t="n">
        <v>421</v>
      </c>
      <c r="E13" s="18" t="n">
        <v>69.21331207999999</v>
      </c>
      <c r="F13" s="20" t="n">
        <v>2.45294328</v>
      </c>
      <c r="G13" s="18" t="n">
        <v>5.83585569</v>
      </c>
      <c r="H13" s="20" t="n">
        <v>1.23798558</v>
      </c>
      <c r="I13" s="18" t="s">
        <v>349</v>
      </c>
      <c r="J13" s="20" t="s">
        <v>349</v>
      </c>
      <c r="K13" s="18" t="n">
        <v>0.55553017</v>
      </c>
      <c r="L13" s="20" t="n">
        <v>0.56338563</v>
      </c>
      <c r="M13" s="18" t="n">
        <v>0.34270712</v>
      </c>
      <c r="N13" s="20" t="n">
        <v>0.35992606</v>
      </c>
      <c r="O13" s="18" t="n">
        <v>0</v>
      </c>
      <c r="P13" s="20" t="n">
        <v>0</v>
      </c>
      <c r="Q13" s="18" t="n">
        <v>24.05259495</v>
      </c>
      <c r="R13" s="20" t="n">
        <v>2.56389865</v>
      </c>
    </row>
    <row r="14" spans="1:18">
      <c r="A14" s="15" t="s">
        <v>356</v>
      </c>
      <c r="B14" s="17" t="n">
        <v>2799</v>
      </c>
      <c r="C14" s="18">
        <f>(2475.0/B14*100)</f>
        <v/>
      </c>
      <c r="D14" s="19" t="n">
        <v>324</v>
      </c>
      <c r="E14" s="18" t="n">
        <v>66.26820812</v>
      </c>
      <c r="F14" s="20" t="n">
        <v>2.92173367</v>
      </c>
      <c r="G14" s="18" t="n">
        <v>9.05407503</v>
      </c>
      <c r="H14" s="20" t="n">
        <v>1.72617657</v>
      </c>
      <c r="I14" s="18" t="s">
        <v>349</v>
      </c>
      <c r="J14" s="20" t="s">
        <v>349</v>
      </c>
      <c r="K14" s="18" t="n">
        <v>0.32433106</v>
      </c>
      <c r="L14" s="20" t="n">
        <v>0.32758959</v>
      </c>
      <c r="M14" s="18" t="n">
        <v>0</v>
      </c>
      <c r="N14" s="20" t="n">
        <v>0</v>
      </c>
      <c r="O14" s="18" t="n">
        <v>0</v>
      </c>
      <c r="P14" s="20" t="n">
        <v>0</v>
      </c>
      <c r="Q14" s="18" t="n">
        <v>24.35338579</v>
      </c>
      <c r="R14" s="20" t="n">
        <v>2.5408932</v>
      </c>
    </row>
    <row r="15" spans="1:18">
      <c r="A15" s="15" t="s">
        <v>357</v>
      </c>
      <c r="B15" s="17" t="n">
        <v>3019</v>
      </c>
      <c r="C15" s="18">
        <f>(2649.0/B15*100)</f>
        <v/>
      </c>
      <c r="D15" s="19" t="n">
        <v>370</v>
      </c>
      <c r="E15" s="18" t="n">
        <v>58.07516199</v>
      </c>
      <c r="F15" s="20" t="n">
        <v>2.77273324</v>
      </c>
      <c r="G15" s="18" t="n">
        <v>7.99946218</v>
      </c>
      <c r="H15" s="20" t="n">
        <v>1.62680772</v>
      </c>
      <c r="I15" s="18" t="s">
        <v>349</v>
      </c>
      <c r="J15" s="20" t="s">
        <v>349</v>
      </c>
      <c r="K15" s="18" t="n">
        <v>0.24304975</v>
      </c>
      <c r="L15" s="20" t="n">
        <v>0.24303682</v>
      </c>
      <c r="M15" s="18" t="n">
        <v>0</v>
      </c>
      <c r="N15" s="20" t="n">
        <v>0</v>
      </c>
      <c r="O15" s="18" t="n">
        <v>0</v>
      </c>
      <c r="P15" s="20" t="n">
        <v>0</v>
      </c>
      <c r="Q15" s="18" t="n">
        <v>33.68232608</v>
      </c>
      <c r="R15" s="20" t="n">
        <v>2.75951985</v>
      </c>
    </row>
    <row r="16" spans="1:18">
      <c r="A16" s="15" t="s">
        <v>358</v>
      </c>
      <c r="B16" s="17" t="n">
        <v>2997</v>
      </c>
      <c r="C16" s="18">
        <f>(2638.0/B16*100)</f>
        <v/>
      </c>
      <c r="D16" s="19" t="n">
        <v>359</v>
      </c>
      <c r="E16" s="18" t="n">
        <v>57.37234796</v>
      </c>
      <c r="F16" s="20" t="n">
        <v>2.75346442</v>
      </c>
      <c r="G16" s="18" t="n">
        <v>8.43417799</v>
      </c>
      <c r="H16" s="20" t="n">
        <v>1.5700643</v>
      </c>
      <c r="I16" s="18" t="s">
        <v>349</v>
      </c>
      <c r="J16" s="20" t="s">
        <v>349</v>
      </c>
      <c r="K16" s="18" t="n">
        <v>0.84698769</v>
      </c>
      <c r="L16" s="20" t="n">
        <v>0.5581518600000001</v>
      </c>
      <c r="M16" s="18" t="n">
        <v>0</v>
      </c>
      <c r="N16" s="20" t="n">
        <v>0</v>
      </c>
      <c r="O16" s="18" t="n">
        <v>0</v>
      </c>
      <c r="P16" s="20" t="n">
        <v>0</v>
      </c>
      <c r="Q16" s="18" t="n">
        <v>33.34648636</v>
      </c>
      <c r="R16" s="20" t="n">
        <v>2.48398367</v>
      </c>
    </row>
    <row r="17" spans="1:18">
      <c r="A17" s="15" t="s">
        <v>359</v>
      </c>
      <c r="B17" s="17" t="n">
        <v>3307</v>
      </c>
      <c r="C17" s="18">
        <f>(2890.0/B17*100)</f>
        <v/>
      </c>
      <c r="D17" s="19" t="n">
        <v>417</v>
      </c>
      <c r="E17" s="18" t="n">
        <v>64.20428606999999</v>
      </c>
      <c r="F17" s="20" t="n">
        <v>2.29591769</v>
      </c>
      <c r="G17" s="18" t="n">
        <v>8.81451281</v>
      </c>
      <c r="H17" s="20" t="n">
        <v>1.3972227</v>
      </c>
      <c r="I17" s="18" t="s">
        <v>349</v>
      </c>
      <c r="J17" s="20" t="s">
        <v>349</v>
      </c>
      <c r="K17" s="18" t="n">
        <v>0.70477153</v>
      </c>
      <c r="L17" s="20" t="n">
        <v>0.44023201</v>
      </c>
      <c r="M17" s="18" t="n">
        <v>0</v>
      </c>
      <c r="N17" s="20" t="n">
        <v>0</v>
      </c>
      <c r="O17" s="18" t="n">
        <v>0</v>
      </c>
      <c r="P17" s="20" t="n">
        <v>0</v>
      </c>
      <c r="Q17" s="18" t="n">
        <v>26.2764296</v>
      </c>
      <c r="R17" s="20" t="n">
        <v>1.96100336</v>
      </c>
    </row>
    <row r="18" spans="1:18">
      <c r="A18" s="15" t="s">
        <v>360</v>
      </c>
      <c r="B18" s="17" t="n">
        <v>2826</v>
      </c>
      <c r="C18" s="18">
        <f>(2485.0/B18*100)</f>
        <v/>
      </c>
      <c r="D18" s="19" t="n">
        <v>341</v>
      </c>
      <c r="E18" s="18" t="n">
        <v>60.3880367</v>
      </c>
      <c r="F18" s="20" t="n">
        <v>3.3205602</v>
      </c>
      <c r="G18" s="18" t="n">
        <v>5.4374349</v>
      </c>
      <c r="H18" s="20" t="n">
        <v>1.49257453</v>
      </c>
      <c r="I18" s="18" t="s">
        <v>349</v>
      </c>
      <c r="J18" s="20" t="s">
        <v>349</v>
      </c>
      <c r="K18" s="18" t="n">
        <v>0.79126807</v>
      </c>
      <c r="L18" s="20" t="n">
        <v>0.58876761</v>
      </c>
      <c r="M18" s="18" t="n">
        <v>0</v>
      </c>
      <c r="N18" s="20" t="n">
        <v>0</v>
      </c>
      <c r="O18" s="18" t="n">
        <v>0</v>
      </c>
      <c r="P18" s="20" t="n">
        <v>0</v>
      </c>
      <c r="Q18" s="18" t="n">
        <v>33.38326032</v>
      </c>
      <c r="R18" s="20" t="n">
        <v>3.51411508</v>
      </c>
    </row>
    <row r="19" spans="1:18">
      <c r="A19" s="15" t="s">
        <v>361</v>
      </c>
      <c r="B19" s="17" t="n">
        <v>2808</v>
      </c>
      <c r="C19" s="18">
        <f>(2459.0/B19*100)</f>
        <v/>
      </c>
      <c r="D19" s="19" t="n">
        <v>349</v>
      </c>
      <c r="E19" s="18" t="n">
        <v>61.7390865</v>
      </c>
      <c r="F19" s="20" t="n">
        <v>2.36359437</v>
      </c>
      <c r="G19" s="18" t="n">
        <v>4.0282979</v>
      </c>
      <c r="H19" s="20" t="n">
        <v>0.94477115</v>
      </c>
      <c r="I19" s="18" t="s">
        <v>349</v>
      </c>
      <c r="J19" s="20" t="s">
        <v>349</v>
      </c>
      <c r="K19" s="18" t="n">
        <v>0</v>
      </c>
      <c r="L19" s="20" t="n">
        <v>0</v>
      </c>
      <c r="M19" s="18" t="n">
        <v>0</v>
      </c>
      <c r="N19" s="20" t="n">
        <v>0</v>
      </c>
      <c r="O19" s="18" t="n">
        <v>0</v>
      </c>
      <c r="P19" s="20" t="n">
        <v>0</v>
      </c>
      <c r="Q19" s="18" t="n">
        <v>34.2326156</v>
      </c>
      <c r="R19" s="20" t="n">
        <v>2.34155417</v>
      </c>
    </row>
    <row r="20" spans="1:18">
      <c r="A20" s="15" t="s">
        <v>362</v>
      </c>
      <c r="B20" s="17" t="n">
        <v>1630</v>
      </c>
      <c r="C20" s="18">
        <f>(1434.0/B20*100)</f>
        <v/>
      </c>
      <c r="D20" s="19" t="n">
        <v>196</v>
      </c>
      <c r="E20" s="18" t="n">
        <v>67.05968</v>
      </c>
      <c r="F20" s="20" t="n">
        <v>3.20683753</v>
      </c>
      <c r="G20" s="18" t="n">
        <v>8.59751441</v>
      </c>
      <c r="H20" s="20" t="n">
        <v>2.08915108</v>
      </c>
      <c r="I20" s="18" t="s">
        <v>349</v>
      </c>
      <c r="J20" s="20" t="s">
        <v>349</v>
      </c>
      <c r="K20" s="18" t="n">
        <v>0</v>
      </c>
      <c r="L20" s="20" t="n">
        <v>0</v>
      </c>
      <c r="M20" s="18" t="n">
        <v>0</v>
      </c>
      <c r="N20" s="20" t="n">
        <v>0</v>
      </c>
      <c r="O20" s="18" t="n">
        <v>0</v>
      </c>
      <c r="P20" s="20" t="n">
        <v>0</v>
      </c>
      <c r="Q20" s="18" t="n">
        <v>24.34280558</v>
      </c>
      <c r="R20" s="20" t="n">
        <v>2.97007102</v>
      </c>
    </row>
    <row r="21" spans="1:18">
      <c r="A21" s="15" t="s">
        <v>363</v>
      </c>
      <c r="B21" s="17" t="n">
        <v>2908</v>
      </c>
      <c r="C21" s="18">
        <f>(2414.0/B21*100)</f>
        <v/>
      </c>
      <c r="D21" s="19" t="n">
        <v>494</v>
      </c>
      <c r="E21" s="18" t="n">
        <v>66.17792635000001</v>
      </c>
      <c r="F21" s="20" t="n">
        <v>1.93477989</v>
      </c>
      <c r="G21" s="18" t="n">
        <v>7.84234825</v>
      </c>
      <c r="H21" s="20" t="n">
        <v>1.28503293</v>
      </c>
      <c r="I21" s="18" t="s">
        <v>349</v>
      </c>
      <c r="J21" s="20" t="s">
        <v>349</v>
      </c>
      <c r="K21" s="18" t="n">
        <v>0.18946945</v>
      </c>
      <c r="L21" s="20" t="n">
        <v>0.18886372</v>
      </c>
      <c r="M21" s="18" t="n">
        <v>0</v>
      </c>
      <c r="N21" s="20" t="n">
        <v>0</v>
      </c>
      <c r="O21" s="18" t="n">
        <v>0</v>
      </c>
      <c r="P21" s="20" t="n">
        <v>0</v>
      </c>
      <c r="Q21" s="18" t="n">
        <v>25.79025596</v>
      </c>
      <c r="R21" s="20" t="n">
        <v>1.9124699</v>
      </c>
    </row>
    <row r="22" spans="1:18">
      <c r="A22" s="15" t="s">
        <v>364</v>
      </c>
      <c r="B22" s="17" t="n">
        <v>2931</v>
      </c>
      <c r="C22" s="18">
        <f>(2574.0/B22*100)</f>
        <v/>
      </c>
      <c r="D22" s="19" t="n">
        <v>357</v>
      </c>
      <c r="E22" s="18" t="n">
        <v>57.05233287</v>
      </c>
      <c r="F22" s="20" t="n">
        <v>3.27770726</v>
      </c>
      <c r="G22" s="18" t="n">
        <v>10.0521976</v>
      </c>
      <c r="H22" s="20" t="n">
        <v>1.90474894</v>
      </c>
      <c r="I22" s="18" t="s">
        <v>349</v>
      </c>
      <c r="J22" s="20" t="s">
        <v>349</v>
      </c>
      <c r="K22" s="18" t="n">
        <v>0.7483374699999999</v>
      </c>
      <c r="L22" s="20" t="n">
        <v>0.57766754</v>
      </c>
      <c r="M22" s="18" t="n">
        <v>0</v>
      </c>
      <c r="N22" s="20" t="n">
        <v>0</v>
      </c>
      <c r="O22" s="18" t="n">
        <v>0</v>
      </c>
      <c r="P22" s="20" t="n">
        <v>0</v>
      </c>
      <c r="Q22" s="18" t="n">
        <v>32.14713206</v>
      </c>
      <c r="R22" s="20" t="n">
        <v>3.13229649</v>
      </c>
    </row>
    <row r="23" spans="1:18">
      <c r="A23" s="15" t="s">
        <v>365</v>
      </c>
      <c r="B23" s="17" t="n">
        <v>5791</v>
      </c>
      <c r="C23" s="18">
        <f>(5069.0/B23*100)</f>
        <v/>
      </c>
      <c r="D23" s="19" t="n">
        <v>722</v>
      </c>
      <c r="E23" s="18" t="n">
        <v>58.69293138</v>
      </c>
      <c r="F23" s="20" t="n">
        <v>2.68001458</v>
      </c>
      <c r="G23" s="18" t="n">
        <v>6.53075221</v>
      </c>
      <c r="H23" s="20" t="n">
        <v>1.04523266</v>
      </c>
      <c r="I23" s="18" t="s">
        <v>349</v>
      </c>
      <c r="J23" s="20" t="s">
        <v>349</v>
      </c>
      <c r="K23" s="18" t="n">
        <v>0</v>
      </c>
      <c r="L23" s="20" t="n">
        <v>0</v>
      </c>
      <c r="M23" s="18" t="n">
        <v>0.16337072</v>
      </c>
      <c r="N23" s="20" t="n">
        <v>0.17485353</v>
      </c>
      <c r="O23" s="18" t="n">
        <v>0</v>
      </c>
      <c r="P23" s="20" t="n">
        <v>0</v>
      </c>
      <c r="Q23" s="18" t="n">
        <v>34.61294569</v>
      </c>
      <c r="R23" s="20" t="n">
        <v>2.60736056</v>
      </c>
    </row>
    <row r="24" spans="1:18">
      <c r="A24" s="15" t="s">
        <v>366</v>
      </c>
      <c r="B24" s="17" t="n">
        <v>3338</v>
      </c>
      <c r="C24" s="18">
        <f>(2922.0/B24*100)</f>
        <v/>
      </c>
      <c r="D24" s="19" t="n">
        <v>416</v>
      </c>
      <c r="E24" s="18" t="n">
        <v>57.25376539</v>
      </c>
      <c r="F24" s="20" t="n">
        <v>2.20924478</v>
      </c>
      <c r="G24" s="18" t="n">
        <v>16.1740122</v>
      </c>
      <c r="H24" s="20" t="n">
        <v>1.89542264</v>
      </c>
      <c r="I24" s="18" t="s">
        <v>349</v>
      </c>
      <c r="J24" s="20" t="s">
        <v>349</v>
      </c>
      <c r="K24" s="18" t="n">
        <v>0.17057966</v>
      </c>
      <c r="L24" s="20" t="n">
        <v>0.17140727</v>
      </c>
      <c r="M24" s="18" t="n">
        <v>0.23580955</v>
      </c>
      <c r="N24" s="20" t="n">
        <v>0.23726936</v>
      </c>
      <c r="O24" s="18" t="n">
        <v>0</v>
      </c>
      <c r="P24" s="20" t="n">
        <v>0</v>
      </c>
      <c r="Q24" s="18" t="n">
        <v>26.16583321</v>
      </c>
      <c r="R24" s="20" t="n">
        <v>1.95565516</v>
      </c>
    </row>
    <row r="25" spans="1:18">
      <c r="A25" s="15" t="s">
        <v>367</v>
      </c>
      <c r="B25" s="17" t="n">
        <v>2912</v>
      </c>
      <c r="C25" s="18">
        <f>(2574.0/B25*100)</f>
        <v/>
      </c>
      <c r="D25" s="19" t="n">
        <v>338</v>
      </c>
      <c r="E25" s="18" t="n">
        <v>57.45049044</v>
      </c>
      <c r="F25" s="20" t="n">
        <v>3.02837554</v>
      </c>
      <c r="G25" s="18" t="n">
        <v>16.15362013</v>
      </c>
      <c r="H25" s="20" t="n">
        <v>2.22012374</v>
      </c>
      <c r="I25" s="18" t="s">
        <v>349</v>
      </c>
      <c r="J25" s="20" t="s">
        <v>349</v>
      </c>
      <c r="K25" s="18" t="n">
        <v>0.59307864</v>
      </c>
      <c r="L25" s="20" t="n">
        <v>0.42064308</v>
      </c>
      <c r="M25" s="18" t="n">
        <v>0</v>
      </c>
      <c r="N25" s="20" t="n">
        <v>0</v>
      </c>
      <c r="O25" s="18" t="n">
        <v>0</v>
      </c>
      <c r="P25" s="20" t="n">
        <v>0</v>
      </c>
      <c r="Q25" s="18" t="n">
        <v>25.80281079</v>
      </c>
      <c r="R25" s="20" t="n">
        <v>2.60928282</v>
      </c>
    </row>
    <row r="26" spans="1:18">
      <c r="A26" s="15" t="s">
        <v>368</v>
      </c>
      <c r="B26" s="17" t="n">
        <v>2450</v>
      </c>
      <c r="C26" s="18">
        <f>(2132.0/B26*100)</f>
        <v/>
      </c>
      <c r="D26" s="19" t="n">
        <v>318</v>
      </c>
      <c r="E26" s="18" t="n">
        <v>72.84641686000001</v>
      </c>
      <c r="F26" s="20" t="n">
        <v>2.30960004</v>
      </c>
      <c r="G26" s="18" t="n">
        <v>4.90605535</v>
      </c>
      <c r="H26" s="20" t="n">
        <v>1.20641244</v>
      </c>
      <c r="I26" s="18" t="s">
        <v>349</v>
      </c>
      <c r="J26" s="20" t="s">
        <v>349</v>
      </c>
      <c r="K26" s="18" t="n">
        <v>0</v>
      </c>
      <c r="L26" s="20" t="n">
        <v>0</v>
      </c>
      <c r="M26" s="18" t="n">
        <v>0</v>
      </c>
      <c r="N26" s="20" t="n">
        <v>0</v>
      </c>
      <c r="O26" s="18" t="n">
        <v>0</v>
      </c>
      <c r="P26" s="20" t="n">
        <v>0</v>
      </c>
      <c r="Q26" s="18" t="n">
        <v>22.24752779</v>
      </c>
      <c r="R26" s="20" t="n">
        <v>2.05997314</v>
      </c>
    </row>
    <row r="27" spans="1:18">
      <c r="A27" s="15" t="s">
        <v>369</v>
      </c>
      <c r="B27" s="17" t="n">
        <v>2616</v>
      </c>
      <c r="C27" s="18">
        <f>(2305.0/B27*100)</f>
        <v/>
      </c>
      <c r="D27" s="19" t="n">
        <v>311</v>
      </c>
      <c r="E27" s="18" t="n">
        <v>56.00756838</v>
      </c>
      <c r="F27" s="20" t="n">
        <v>2.74991271</v>
      </c>
      <c r="G27" s="18" t="n">
        <v>8.77550789</v>
      </c>
      <c r="H27" s="20" t="n">
        <v>1.28475048</v>
      </c>
      <c r="I27" s="18" t="s">
        <v>349</v>
      </c>
      <c r="J27" s="20" t="s">
        <v>349</v>
      </c>
      <c r="K27" s="18" t="n">
        <v>0.31795034</v>
      </c>
      <c r="L27" s="20" t="n">
        <v>0.31476948</v>
      </c>
      <c r="M27" s="18" t="n">
        <v>0</v>
      </c>
      <c r="N27" s="20" t="n">
        <v>0</v>
      </c>
      <c r="O27" s="18" t="n">
        <v>0</v>
      </c>
      <c r="P27" s="20" t="n">
        <v>0</v>
      </c>
      <c r="Q27" s="18" t="n">
        <v>34.89897339</v>
      </c>
      <c r="R27" s="20" t="n">
        <v>2.70793978</v>
      </c>
    </row>
    <row r="28" spans="1:18">
      <c r="A28" s="15" t="s">
        <v>370</v>
      </c>
      <c r="B28" s="17" t="n">
        <v>3765</v>
      </c>
      <c r="C28" s="18">
        <f>(3294.0/B28*100)</f>
        <v/>
      </c>
      <c r="D28" s="19" t="n">
        <v>471</v>
      </c>
      <c r="E28" s="18" t="n">
        <v>77.83691055</v>
      </c>
      <c r="F28" s="20" t="n">
        <v>1.99417999</v>
      </c>
      <c r="G28" s="18" t="n">
        <v>0.95297614</v>
      </c>
      <c r="H28" s="20" t="n">
        <v>0.52219645</v>
      </c>
      <c r="I28" s="18" t="s">
        <v>349</v>
      </c>
      <c r="J28" s="20" t="s">
        <v>349</v>
      </c>
      <c r="K28" s="18" t="n">
        <v>0.36220396</v>
      </c>
      <c r="L28" s="20" t="n">
        <v>0.36197378</v>
      </c>
      <c r="M28" s="18" t="n">
        <v>0.1919537</v>
      </c>
      <c r="N28" s="20" t="n">
        <v>0.17206392</v>
      </c>
      <c r="O28" s="18" t="n">
        <v>0</v>
      </c>
      <c r="P28" s="20" t="n">
        <v>0</v>
      </c>
      <c r="Q28" s="18" t="n">
        <v>20.65595565</v>
      </c>
      <c r="R28" s="20" t="n">
        <v>1.99598541</v>
      </c>
    </row>
    <row r="29" spans="1:18">
      <c r="A29" s="15" t="s">
        <v>371</v>
      </c>
      <c r="B29" s="17" t="n">
        <v>2685</v>
      </c>
      <c r="C29" s="18">
        <f>(2377.0/B29*100)</f>
        <v/>
      </c>
      <c r="D29" s="19" t="n">
        <v>308</v>
      </c>
      <c r="E29" s="18" t="n">
        <v>66.90749674</v>
      </c>
      <c r="F29" s="20" t="n">
        <v>2.3852978</v>
      </c>
      <c r="G29" s="18" t="n">
        <v>15.77163937</v>
      </c>
      <c r="H29" s="20" t="n">
        <v>2.03387176</v>
      </c>
      <c r="I29" s="18" t="s">
        <v>349</v>
      </c>
      <c r="J29" s="20" t="s">
        <v>349</v>
      </c>
      <c r="K29" s="18" t="n">
        <v>0</v>
      </c>
      <c r="L29" s="20" t="n">
        <v>0</v>
      </c>
      <c r="M29" s="18" t="n">
        <v>0</v>
      </c>
      <c r="N29" s="20" t="n">
        <v>0</v>
      </c>
      <c r="O29" s="18" t="n">
        <v>0</v>
      </c>
      <c r="P29" s="20" t="n">
        <v>0</v>
      </c>
      <c r="Q29" s="18" t="n">
        <v>17.32086388</v>
      </c>
      <c r="R29" s="20" t="n">
        <v>1.89502902</v>
      </c>
    </row>
    <row r="30" spans="1:18">
      <c r="A30" s="15" t="s">
        <v>372</v>
      </c>
      <c r="B30" s="17" t="n">
        <v>2263</v>
      </c>
      <c r="C30" s="18">
        <f>(1973.0/B30*100)</f>
        <v/>
      </c>
      <c r="D30" s="19" t="n">
        <v>290</v>
      </c>
      <c r="E30" s="18" t="n">
        <v>67.78566714999999</v>
      </c>
      <c r="F30" s="20" t="n">
        <v>2.50961576</v>
      </c>
      <c r="G30" s="18" t="n">
        <v>9.33038702</v>
      </c>
      <c r="H30" s="20" t="n">
        <v>1.66277426</v>
      </c>
      <c r="I30" s="18" t="s">
        <v>349</v>
      </c>
      <c r="J30" s="20" t="s">
        <v>349</v>
      </c>
      <c r="K30" s="18" t="n">
        <v>0.31259823</v>
      </c>
      <c r="L30" s="20" t="n">
        <v>0.3168984</v>
      </c>
      <c r="M30" s="18" t="n">
        <v>0.22465073</v>
      </c>
      <c r="N30" s="20" t="n">
        <v>0.23143287</v>
      </c>
      <c r="O30" s="18" t="n">
        <v>0</v>
      </c>
      <c r="P30" s="20" t="n">
        <v>0</v>
      </c>
      <c r="Q30" s="18" t="n">
        <v>22.34669687</v>
      </c>
      <c r="R30" s="20" t="n">
        <v>2.4447286</v>
      </c>
    </row>
    <row r="31" spans="1:18">
      <c r="A31" s="15" t="s">
        <v>373</v>
      </c>
      <c r="B31" s="17" t="n">
        <v>2750</v>
      </c>
      <c r="C31" s="18">
        <f>(2422.0/B31*100)</f>
        <v/>
      </c>
      <c r="D31" s="19" t="n">
        <v>328</v>
      </c>
      <c r="E31" s="18" t="n">
        <v>63.15755219</v>
      </c>
      <c r="F31" s="20" t="n">
        <v>2.91220208</v>
      </c>
      <c r="G31" s="18" t="n">
        <v>7.62228174</v>
      </c>
      <c r="H31" s="20" t="n">
        <v>1.34873047</v>
      </c>
      <c r="I31" s="18" t="s">
        <v>349</v>
      </c>
      <c r="J31" s="20" t="s">
        <v>349</v>
      </c>
      <c r="K31" s="18" t="n">
        <v>0.54308035</v>
      </c>
      <c r="L31" s="20" t="n">
        <v>0.37448504</v>
      </c>
      <c r="M31" s="18" t="n">
        <v>0</v>
      </c>
      <c r="N31" s="20" t="n">
        <v>0</v>
      </c>
      <c r="O31" s="18" t="n">
        <v>0</v>
      </c>
      <c r="P31" s="20" t="n">
        <v>0</v>
      </c>
      <c r="Q31" s="18" t="n">
        <v>28.67708573</v>
      </c>
      <c r="R31" s="20" t="n">
        <v>2.6798622</v>
      </c>
    </row>
    <row r="32" spans="1:18">
      <c r="A32" s="15" t="s">
        <v>374</v>
      </c>
      <c r="B32" s="17" t="n">
        <v>2269</v>
      </c>
      <c r="C32" s="18">
        <f>(1904.0/B32*100)</f>
        <v/>
      </c>
      <c r="D32" s="19" t="n">
        <v>365</v>
      </c>
      <c r="E32" s="18" t="n">
        <v>66.91119707999999</v>
      </c>
      <c r="F32" s="20" t="n">
        <v>2.40334135</v>
      </c>
      <c r="G32" s="18" t="n">
        <v>7.80237814</v>
      </c>
      <c r="H32" s="20" t="n">
        <v>1.38415962</v>
      </c>
      <c r="I32" s="18" t="s">
        <v>349</v>
      </c>
      <c r="J32" s="20" t="s">
        <v>349</v>
      </c>
      <c r="K32" s="18" t="n">
        <v>0</v>
      </c>
      <c r="L32" s="20" t="n">
        <v>0</v>
      </c>
      <c r="M32" s="18" t="n">
        <v>0</v>
      </c>
      <c r="N32" s="20" t="n">
        <v>0</v>
      </c>
      <c r="O32" s="18" t="n">
        <v>0</v>
      </c>
      <c r="P32" s="20" t="n">
        <v>0</v>
      </c>
      <c r="Q32" s="18" t="n">
        <v>25.28642478</v>
      </c>
      <c r="R32" s="20" t="n">
        <v>2.21511723</v>
      </c>
    </row>
    <row r="33" spans="1:18">
      <c r="A33" s="15" t="s">
        <v>375</v>
      </c>
      <c r="B33" s="17" t="n">
        <v>3674</v>
      </c>
      <c r="C33" s="18">
        <f>(3228.0/B33*100)</f>
        <v/>
      </c>
      <c r="D33" s="19" t="n">
        <v>446</v>
      </c>
      <c r="E33" s="18" t="n">
        <v>68.33331475999999</v>
      </c>
      <c r="F33" s="20" t="n">
        <v>2.74056734</v>
      </c>
      <c r="G33" s="18" t="n">
        <v>4.71663549</v>
      </c>
      <c r="H33" s="20" t="n">
        <v>1.40569285</v>
      </c>
      <c r="I33" s="18" t="s">
        <v>349</v>
      </c>
      <c r="J33" s="20" t="s">
        <v>349</v>
      </c>
      <c r="K33" s="18" t="n">
        <v>1.6768551</v>
      </c>
      <c r="L33" s="20" t="n">
        <v>1.24729328</v>
      </c>
      <c r="M33" s="18" t="n">
        <v>0</v>
      </c>
      <c r="N33" s="20" t="n">
        <v>0</v>
      </c>
      <c r="O33" s="18" t="n">
        <v>0</v>
      </c>
      <c r="P33" s="20" t="n">
        <v>0</v>
      </c>
      <c r="Q33" s="18" t="n">
        <v>25.27319464</v>
      </c>
      <c r="R33" s="20" t="n">
        <v>2.46956834</v>
      </c>
    </row>
    <row r="34" spans="1:18">
      <c r="A34" s="15" t="s">
        <v>376</v>
      </c>
      <c r="B34" s="17" t="n">
        <v>3315</v>
      </c>
      <c r="C34" s="18">
        <f>(2904.0/B34*100)</f>
        <v/>
      </c>
      <c r="D34" s="19" t="n">
        <v>411</v>
      </c>
      <c r="E34" s="18" t="n">
        <v>67.30193851</v>
      </c>
      <c r="F34" s="20" t="n">
        <v>2.42324377</v>
      </c>
      <c r="G34" s="18" t="n">
        <v>3.68636697</v>
      </c>
      <c r="H34" s="20" t="n">
        <v>0.99050421</v>
      </c>
      <c r="I34" s="18" t="s">
        <v>349</v>
      </c>
      <c r="J34" s="20" t="s">
        <v>349</v>
      </c>
      <c r="K34" s="18" t="n">
        <v>0</v>
      </c>
      <c r="L34" s="20" t="n">
        <v>0</v>
      </c>
      <c r="M34" s="18" t="n">
        <v>0</v>
      </c>
      <c r="N34" s="20" t="n">
        <v>0</v>
      </c>
      <c r="O34" s="18" t="n">
        <v>0</v>
      </c>
      <c r="P34" s="20" t="n">
        <v>0</v>
      </c>
      <c r="Q34" s="18" t="n">
        <v>29.01169452</v>
      </c>
      <c r="R34" s="20" t="n">
        <v>2.25008329</v>
      </c>
    </row>
    <row r="35" spans="1:18">
      <c r="A35" s="15" t="s">
        <v>377</v>
      </c>
      <c r="B35" s="17" t="n">
        <v>3505</v>
      </c>
      <c r="C35" s="18">
        <f>(3096.0/B35*100)</f>
        <v/>
      </c>
      <c r="D35" s="19" t="n">
        <v>409</v>
      </c>
      <c r="E35" s="18" t="n">
        <v>57.81767837</v>
      </c>
      <c r="F35" s="20" t="n">
        <v>3.12391757</v>
      </c>
      <c r="G35" s="18" t="n">
        <v>8.63561831</v>
      </c>
      <c r="H35" s="20" t="n">
        <v>2.08333207</v>
      </c>
      <c r="I35" s="18" t="s">
        <v>349</v>
      </c>
      <c r="J35" s="20" t="s">
        <v>349</v>
      </c>
      <c r="K35" s="18" t="n">
        <v>0</v>
      </c>
      <c r="L35" s="20" t="n">
        <v>0</v>
      </c>
      <c r="M35" s="18" t="n">
        <v>0.44795106</v>
      </c>
      <c r="N35" s="20" t="n">
        <v>0.45466164</v>
      </c>
      <c r="O35" s="18" t="n">
        <v>0</v>
      </c>
      <c r="P35" s="20" t="n">
        <v>0</v>
      </c>
      <c r="Q35" s="18" t="n">
        <v>33.09875227</v>
      </c>
      <c r="R35" s="20" t="n">
        <v>3.08430741</v>
      </c>
    </row>
    <row r="36" spans="1:18">
      <c r="A36" s="15" t="s">
        <v>378</v>
      </c>
      <c r="B36" s="17" t="n">
        <v>3332</v>
      </c>
      <c r="C36" s="18">
        <f>(2932.0/B36*100)</f>
        <v/>
      </c>
      <c r="D36" s="19" t="n">
        <v>400</v>
      </c>
      <c r="E36" s="18" t="n">
        <v>62.95838856</v>
      </c>
      <c r="F36" s="20" t="n">
        <v>2.12011171</v>
      </c>
      <c r="G36" s="18" t="n">
        <v>5.30273368</v>
      </c>
      <c r="H36" s="20" t="n">
        <v>1.21229263</v>
      </c>
      <c r="I36" s="18" t="s">
        <v>349</v>
      </c>
      <c r="J36" s="20" t="s">
        <v>349</v>
      </c>
      <c r="K36" s="18" t="n">
        <v>0.26044316</v>
      </c>
      <c r="L36" s="20" t="n">
        <v>0.26637381</v>
      </c>
      <c r="M36" s="18" t="n">
        <v>0</v>
      </c>
      <c r="N36" s="20" t="n">
        <v>0</v>
      </c>
      <c r="O36" s="18" t="n">
        <v>0</v>
      </c>
      <c r="P36" s="20" t="n">
        <v>0</v>
      </c>
      <c r="Q36" s="18" t="n">
        <v>31.4784346</v>
      </c>
      <c r="R36" s="20" t="n">
        <v>2.17313781</v>
      </c>
    </row>
    <row r="37" spans="1:18">
      <c r="A37" s="15" t="s">
        <v>379</v>
      </c>
      <c r="B37" s="17" t="n">
        <v>2727</v>
      </c>
      <c r="C37" s="18">
        <f>(2391.0/B37*100)</f>
        <v/>
      </c>
      <c r="D37" s="19" t="n">
        <v>336</v>
      </c>
      <c r="E37" s="18" t="n">
        <v>58.72825174</v>
      </c>
      <c r="F37" s="20" t="n">
        <v>2.72037147</v>
      </c>
      <c r="G37" s="18" t="n">
        <v>4.88138581</v>
      </c>
      <c r="H37" s="20" t="n">
        <v>1.50367056</v>
      </c>
      <c r="I37" s="18" t="s">
        <v>349</v>
      </c>
      <c r="J37" s="20" t="s">
        <v>349</v>
      </c>
      <c r="K37" s="18" t="n">
        <v>0.56360285</v>
      </c>
      <c r="L37" s="20" t="n">
        <v>0.39722999</v>
      </c>
      <c r="M37" s="18" t="n">
        <v>0</v>
      </c>
      <c r="N37" s="20" t="n">
        <v>0</v>
      </c>
      <c r="O37" s="18" t="n">
        <v>0</v>
      </c>
      <c r="P37" s="20" t="n">
        <v>0</v>
      </c>
      <c r="Q37" s="18" t="n">
        <v>35.8267596</v>
      </c>
      <c r="R37" s="20" t="n">
        <v>2.95940526</v>
      </c>
    </row>
    <row r="38" spans="1:18">
      <c r="A38" s="15" t="s">
        <v>380</v>
      </c>
      <c r="B38" s="17" t="n">
        <v>3053</v>
      </c>
      <c r="C38" s="18">
        <f>(2550.0/B38*100)</f>
        <v/>
      </c>
      <c r="D38" s="19" t="n">
        <v>503</v>
      </c>
      <c r="E38" s="18" t="n">
        <v>63.56121948</v>
      </c>
      <c r="F38" s="20" t="n">
        <v>2.81827468</v>
      </c>
      <c r="G38" s="18" t="n">
        <v>13.97491797</v>
      </c>
      <c r="H38" s="20" t="n">
        <v>1.61765818</v>
      </c>
      <c r="I38" s="18" t="s">
        <v>349</v>
      </c>
      <c r="J38" s="20" t="s">
        <v>349</v>
      </c>
      <c r="K38" s="18" t="n">
        <v>0.42873689</v>
      </c>
      <c r="L38" s="20" t="n">
        <v>0.29435321</v>
      </c>
      <c r="M38" s="18" t="n">
        <v>0</v>
      </c>
      <c r="N38" s="20" t="n">
        <v>0</v>
      </c>
      <c r="O38" s="18" t="n">
        <v>0</v>
      </c>
      <c r="P38" s="20" t="n">
        <v>0</v>
      </c>
      <c r="Q38" s="18" t="n">
        <v>22.03512566</v>
      </c>
      <c r="R38" s="20" t="n">
        <v>2.22324085</v>
      </c>
    </row>
    <row r="39" spans="1:18">
      <c r="A39" s="15" t="s">
        <v>381</v>
      </c>
      <c r="B39" s="17" t="n">
        <v>2957</v>
      </c>
      <c r="C39" s="18">
        <f>(2598.0/B39*100)</f>
        <v/>
      </c>
      <c r="D39" s="19" t="n">
        <v>359</v>
      </c>
      <c r="E39" s="18" t="n">
        <v>69.14108846000001</v>
      </c>
      <c r="F39" s="20" t="n">
        <v>2.79979554</v>
      </c>
      <c r="G39" s="18" t="n">
        <v>1.11375451</v>
      </c>
      <c r="H39" s="20" t="n">
        <v>0.46397293</v>
      </c>
      <c r="I39" s="18" t="s">
        <v>349</v>
      </c>
      <c r="J39" s="20" t="s">
        <v>349</v>
      </c>
      <c r="K39" s="18" t="n">
        <v>0.50563959</v>
      </c>
      <c r="L39" s="20" t="n">
        <v>0.30241033</v>
      </c>
      <c r="M39" s="18" t="n">
        <v>0</v>
      </c>
      <c r="N39" s="20" t="n">
        <v>0</v>
      </c>
      <c r="O39" s="18" t="n">
        <v>0</v>
      </c>
      <c r="P39" s="20" t="n">
        <v>0</v>
      </c>
      <c r="Q39" s="18" t="n">
        <v>29.23951744</v>
      </c>
      <c r="R39" s="20" t="n">
        <v>2.84659648</v>
      </c>
    </row>
    <row r="40" spans="1:18">
      <c r="A40" s="15" t="s">
        <v>382</v>
      </c>
      <c r="B40" s="17" t="n">
        <v>7235</v>
      </c>
      <c r="C40" s="18">
        <f>(6329.0/B40*100)</f>
        <v/>
      </c>
      <c r="D40" s="19" t="n">
        <v>906</v>
      </c>
      <c r="E40" s="18" t="n">
        <v>64.55597745999999</v>
      </c>
      <c r="F40" s="20" t="n">
        <v>2.77129851</v>
      </c>
      <c r="G40" s="18" t="n">
        <v>11.59008526</v>
      </c>
      <c r="H40" s="20" t="n">
        <v>1.69344451</v>
      </c>
      <c r="I40" s="18" t="s">
        <v>349</v>
      </c>
      <c r="J40" s="20" t="s">
        <v>349</v>
      </c>
      <c r="K40" s="18" t="n">
        <v>0.57540544</v>
      </c>
      <c r="L40" s="20" t="n">
        <v>0.33389516</v>
      </c>
      <c r="M40" s="18" t="n">
        <v>0.27251686</v>
      </c>
      <c r="N40" s="20" t="n">
        <v>0.26196728</v>
      </c>
      <c r="O40" s="18" t="n">
        <v>0</v>
      </c>
      <c r="P40" s="20" t="n">
        <v>0</v>
      </c>
      <c r="Q40" s="18" t="n">
        <v>23.00601498</v>
      </c>
      <c r="R40" s="20" t="n">
        <v>2.48876665</v>
      </c>
    </row>
    <row r="41" spans="1:18">
      <c r="A41" s="15" t="s">
        <v>383</v>
      </c>
      <c r="B41" s="17" t="n">
        <v>2858</v>
      </c>
      <c r="C41" s="18">
        <f>(2478.0/B41*100)</f>
        <v/>
      </c>
      <c r="D41" s="19" t="n">
        <v>380</v>
      </c>
      <c r="E41" s="18" t="n">
        <v>86.29476687</v>
      </c>
      <c r="F41" s="20" t="n">
        <v>1.84756232</v>
      </c>
      <c r="G41" s="18" t="n">
        <v>4.10710236</v>
      </c>
      <c r="H41" s="20" t="n">
        <v>0.94463317</v>
      </c>
      <c r="I41" s="18" t="s">
        <v>349</v>
      </c>
      <c r="J41" s="20" t="s">
        <v>349</v>
      </c>
      <c r="K41" s="18" t="n">
        <v>0.20070591</v>
      </c>
      <c r="L41" s="20" t="n">
        <v>0.20895262</v>
      </c>
      <c r="M41" s="18" t="n">
        <v>0</v>
      </c>
      <c r="N41" s="20" t="n">
        <v>0</v>
      </c>
      <c r="O41" s="18" t="n">
        <v>0</v>
      </c>
      <c r="P41" s="20" t="n">
        <v>0</v>
      </c>
      <c r="Q41" s="18" t="n">
        <v>9.39742487</v>
      </c>
      <c r="R41" s="20" t="n">
        <v>1.57096148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(9842.0/B46*100)</f>
        <v/>
      </c>
      <c r="D46" s="19" t="n">
        <v>1226</v>
      </c>
      <c r="E46" s="18" t="n">
        <v>61.03280228</v>
      </c>
      <c r="F46" s="20" t="n">
        <v>2.06992876</v>
      </c>
      <c r="G46" s="18" t="n">
        <v>2.23118897</v>
      </c>
      <c r="H46" s="20" t="n">
        <v>0.67715563</v>
      </c>
      <c r="I46" s="18" t="s">
        <v>349</v>
      </c>
      <c r="J46" s="20" t="s">
        <v>349</v>
      </c>
      <c r="K46" s="18" t="n">
        <v>0.98698128</v>
      </c>
      <c r="L46" s="20" t="n">
        <v>0.44626399</v>
      </c>
      <c r="M46" s="18" t="n">
        <v>0.21607621</v>
      </c>
      <c r="N46" s="20" t="n">
        <v>0.16514965</v>
      </c>
      <c r="O46" s="18" t="n">
        <v>0</v>
      </c>
      <c r="P46" s="20" t="n">
        <v>0</v>
      </c>
      <c r="Q46" s="18" t="n">
        <v>35.53295126</v>
      </c>
      <c r="R46" s="20" t="n">
        <v>2.12037349</v>
      </c>
    </row>
    <row r="47" spans="1:18">
      <c r="A47" s="15" t="s">
        <v>389</v>
      </c>
      <c r="B47" s="17" t="n">
        <v>3105</v>
      </c>
      <c r="C47" s="18">
        <f>(2709.0/B47*100)</f>
        <v/>
      </c>
      <c r="D47" s="19" t="n">
        <v>396</v>
      </c>
      <c r="E47" s="18" t="n">
        <v>59.68965747</v>
      </c>
      <c r="F47" s="20" t="n">
        <v>2.36428655</v>
      </c>
      <c r="G47" s="18" t="n">
        <v>4.38432783</v>
      </c>
      <c r="H47" s="20" t="n">
        <v>0.87221895</v>
      </c>
      <c r="I47" s="18" t="s">
        <v>349</v>
      </c>
      <c r="J47" s="20" t="s">
        <v>349</v>
      </c>
      <c r="K47" s="18" t="n">
        <v>0.49893536</v>
      </c>
      <c r="L47" s="20" t="n">
        <v>0.33876439</v>
      </c>
      <c r="M47" s="18" t="n">
        <v>0</v>
      </c>
      <c r="N47" s="20" t="n">
        <v>0</v>
      </c>
      <c r="O47" s="18" t="n">
        <v>0</v>
      </c>
      <c r="P47" s="20" t="n">
        <v>0</v>
      </c>
      <c r="Q47" s="18" t="n">
        <v>35.42707935</v>
      </c>
      <c r="R47" s="20" t="n">
        <v>2.35199609</v>
      </c>
    </row>
    <row r="48" spans="1:18">
      <c r="A48" s="15" t="s">
        <v>390</v>
      </c>
      <c r="B48" s="17" t="n">
        <v>5159</v>
      </c>
      <c r="C48" s="18">
        <f>(4539.0/B48*100)</f>
        <v/>
      </c>
      <c r="D48" s="19" t="n">
        <v>620</v>
      </c>
      <c r="E48" s="18" t="n">
        <v>60.7180048</v>
      </c>
      <c r="F48" s="20" t="n">
        <v>2.56039653</v>
      </c>
      <c r="G48" s="18" t="n">
        <v>27.32705375</v>
      </c>
      <c r="H48" s="20" t="n">
        <v>2.30808407</v>
      </c>
      <c r="I48" s="18" t="s">
        <v>349</v>
      </c>
      <c r="J48" s="20" t="s">
        <v>349</v>
      </c>
      <c r="K48" s="18" t="n">
        <v>0.7938698199999999</v>
      </c>
      <c r="L48" s="20" t="n">
        <v>0.47514566</v>
      </c>
      <c r="M48" s="18" t="n">
        <v>0</v>
      </c>
      <c r="N48" s="20" t="n">
        <v>0</v>
      </c>
      <c r="O48" s="18" t="n">
        <v>0</v>
      </c>
      <c r="P48" s="20" t="n">
        <v>0</v>
      </c>
      <c r="Q48" s="18" t="n">
        <v>11.16107162</v>
      </c>
      <c r="R48" s="20" t="n">
        <v>1.47148982</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(4953.0/B50*100)</f>
        <v/>
      </c>
      <c r="D50" s="19" t="n">
        <v>684</v>
      </c>
      <c r="E50" s="18" t="n">
        <v>77.91314856</v>
      </c>
      <c r="F50" s="20" t="n">
        <v>2.20028935</v>
      </c>
      <c r="G50" s="18" t="n">
        <v>0.32385017</v>
      </c>
      <c r="H50" s="20" t="n">
        <v>0.18923714</v>
      </c>
      <c r="I50" s="18" t="s">
        <v>349</v>
      </c>
      <c r="J50" s="20" t="s">
        <v>349</v>
      </c>
      <c r="K50" s="18" t="n">
        <v>0.99170392</v>
      </c>
      <c r="L50" s="20" t="n">
        <v>0.44526934</v>
      </c>
      <c r="M50" s="18" t="n">
        <v>0</v>
      </c>
      <c r="N50" s="20" t="n">
        <v>0</v>
      </c>
      <c r="O50" s="18" t="n">
        <v>0</v>
      </c>
      <c r="P50" s="20" t="n">
        <v>0</v>
      </c>
      <c r="Q50" s="18" t="n">
        <v>20.77129735</v>
      </c>
      <c r="R50" s="20" t="n">
        <v>2.12076549</v>
      </c>
    </row>
    <row r="51" spans="1:18">
      <c r="A51" s="15" t="s">
        <v>393</v>
      </c>
      <c r="B51" s="17" t="n">
        <v>3372</v>
      </c>
      <c r="C51" s="18">
        <f>(2999.0/B51*100)</f>
        <v/>
      </c>
      <c r="D51" s="19" t="n">
        <v>373</v>
      </c>
      <c r="E51" s="18" t="n">
        <v>66.09530405</v>
      </c>
      <c r="F51" s="20" t="n">
        <v>3.39167651</v>
      </c>
      <c r="G51" s="18" t="n">
        <v>1.02625185</v>
      </c>
      <c r="H51" s="20" t="n">
        <v>0.54372647</v>
      </c>
      <c r="I51" s="18" t="s">
        <v>349</v>
      </c>
      <c r="J51" s="20" t="s">
        <v>349</v>
      </c>
      <c r="K51" s="18" t="n">
        <v>1.14841077</v>
      </c>
      <c r="L51" s="20" t="n">
        <v>0.68933743</v>
      </c>
      <c r="M51" s="18" t="n">
        <v>0</v>
      </c>
      <c r="N51" s="20" t="n">
        <v>0</v>
      </c>
      <c r="O51" s="18" t="n">
        <v>0</v>
      </c>
      <c r="P51" s="20" t="n">
        <v>0</v>
      </c>
      <c r="Q51" s="18" t="n">
        <v>31.73003334</v>
      </c>
      <c r="R51" s="20" t="n">
        <v>3.29625174</v>
      </c>
    </row>
    <row r="52" spans="1:18">
      <c r="A52" s="15" t="s">
        <v>394</v>
      </c>
      <c r="B52" s="17" t="n">
        <v>2796</v>
      </c>
      <c r="C52" s="18">
        <f>(2431.0/B52*100)</f>
        <v/>
      </c>
      <c r="D52" s="19" t="n">
        <v>365</v>
      </c>
      <c r="E52" s="18" t="n">
        <v>62.45462944</v>
      </c>
      <c r="F52" s="20" t="n">
        <v>2.97387034</v>
      </c>
      <c r="G52" s="18" t="n">
        <v>6.80712485</v>
      </c>
      <c r="H52" s="20" t="n">
        <v>1.44574826</v>
      </c>
      <c r="I52" s="18" t="s">
        <v>349</v>
      </c>
      <c r="J52" s="20" t="s">
        <v>349</v>
      </c>
      <c r="K52" s="18" t="n">
        <v>0.56860767</v>
      </c>
      <c r="L52" s="20" t="n">
        <v>0.44273703</v>
      </c>
      <c r="M52" s="18" t="n">
        <v>0</v>
      </c>
      <c r="N52" s="20" t="n">
        <v>0</v>
      </c>
      <c r="O52" s="18" t="n">
        <v>0</v>
      </c>
      <c r="P52" s="20" t="n">
        <v>0</v>
      </c>
      <c r="Q52" s="18" t="n">
        <v>30.16963804</v>
      </c>
      <c r="R52" s="20" t="n">
        <v>2.65323902</v>
      </c>
    </row>
    <row r="53" spans="1:18">
      <c r="A53" s="15" t="s">
        <v>395</v>
      </c>
      <c r="B53" s="17" t="n">
        <v>2811</v>
      </c>
      <c r="C53" s="18">
        <f>(2455.0/B53*100)</f>
        <v/>
      </c>
      <c r="D53" s="19" t="n">
        <v>356</v>
      </c>
      <c r="E53" s="18" t="n">
        <v>64.55372140999999</v>
      </c>
      <c r="F53" s="20" t="n">
        <v>2.48406679</v>
      </c>
      <c r="G53" s="18" t="n">
        <v>3.14449253</v>
      </c>
      <c r="H53" s="20" t="n">
        <v>1.00307583</v>
      </c>
      <c r="I53" s="18" t="s">
        <v>349</v>
      </c>
      <c r="J53" s="20" t="s">
        <v>349</v>
      </c>
      <c r="K53" s="18" t="n">
        <v>0.18962543</v>
      </c>
      <c r="L53" s="20" t="n">
        <v>0.18953078</v>
      </c>
      <c r="M53" s="18" t="n">
        <v>0</v>
      </c>
      <c r="N53" s="20" t="n">
        <v>0</v>
      </c>
      <c r="O53" s="18" t="n">
        <v>0</v>
      </c>
      <c r="P53" s="20" t="n">
        <v>0</v>
      </c>
      <c r="Q53" s="18" t="n">
        <v>32.11216063</v>
      </c>
      <c r="R53" s="20" t="n">
        <v>2.47786179</v>
      </c>
    </row>
    <row r="54" spans="1:18">
      <c r="A54" s="15" t="s">
        <v>396</v>
      </c>
      <c r="B54" s="17" t="n">
        <v>2266</v>
      </c>
      <c r="C54" s="18">
        <f>(1907.0/B54*100)</f>
        <v/>
      </c>
      <c r="D54" s="19" t="n">
        <v>359</v>
      </c>
      <c r="E54" s="18" t="n">
        <v>49.74936546</v>
      </c>
      <c r="F54" s="20" t="n">
        <v>2.72662343</v>
      </c>
      <c r="G54" s="18" t="n">
        <v>0</v>
      </c>
      <c r="H54" s="20" t="n">
        <v>0</v>
      </c>
      <c r="I54" s="18" t="s">
        <v>349</v>
      </c>
      <c r="J54" s="20" t="s">
        <v>349</v>
      </c>
      <c r="K54" s="18" t="n">
        <v>7.97619176</v>
      </c>
      <c r="L54" s="20" t="n">
        <v>1.7125954</v>
      </c>
      <c r="M54" s="18" t="n">
        <v>0.535639</v>
      </c>
      <c r="N54" s="20" t="n">
        <v>0.37290409</v>
      </c>
      <c r="O54" s="18" t="n">
        <v>0</v>
      </c>
      <c r="P54" s="20" t="n">
        <v>0</v>
      </c>
      <c r="Q54" s="18" t="n">
        <v>41.73880378</v>
      </c>
      <c r="R54" s="20" t="n">
        <v>2.95568181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(2353.0/B56*100)</f>
        <v/>
      </c>
      <c r="D56" s="19" t="n">
        <v>331</v>
      </c>
      <c r="E56" s="18" t="n">
        <v>61.34419631</v>
      </c>
      <c r="F56" s="20" t="n">
        <v>2.77372014</v>
      </c>
      <c r="G56" s="18" t="n">
        <v>25.81771859</v>
      </c>
      <c r="H56" s="20" t="n">
        <v>2.84768962</v>
      </c>
      <c r="I56" s="18" t="s">
        <v>349</v>
      </c>
      <c r="J56" s="20" t="s">
        <v>349</v>
      </c>
      <c r="K56" s="18" t="n">
        <v>0.24613579</v>
      </c>
      <c r="L56" s="20" t="n">
        <v>0.25101564</v>
      </c>
      <c r="M56" s="18" t="n">
        <v>0</v>
      </c>
      <c r="N56" s="20" t="n">
        <v>0</v>
      </c>
      <c r="O56" s="18" t="n">
        <v>0</v>
      </c>
      <c r="P56" s="20" t="n">
        <v>0</v>
      </c>
      <c r="Q56" s="18" t="n">
        <v>12.59194932</v>
      </c>
      <c r="R56" s="20" t="n">
        <v>1.58760797</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(2926.0/B61*100)</f>
        <v/>
      </c>
      <c r="D61" s="19" t="n">
        <v>398</v>
      </c>
      <c r="E61" s="18" t="n">
        <v>61.98566991</v>
      </c>
      <c r="F61" s="20" t="n">
        <v>2.62549808</v>
      </c>
      <c r="G61" s="18" t="n">
        <v>7.56634859</v>
      </c>
      <c r="H61" s="20" t="n">
        <v>1.67315076</v>
      </c>
      <c r="I61" s="18" t="s">
        <v>349</v>
      </c>
      <c r="J61" s="20" t="s">
        <v>349</v>
      </c>
      <c r="K61" s="18" t="n">
        <v>0</v>
      </c>
      <c r="L61" s="20" t="n">
        <v>0</v>
      </c>
      <c r="M61" s="18" t="n">
        <v>0</v>
      </c>
      <c r="N61" s="20" t="n">
        <v>0</v>
      </c>
      <c r="O61" s="18" t="n">
        <v>0</v>
      </c>
      <c r="P61" s="20" t="n">
        <v>0</v>
      </c>
      <c r="Q61" s="18" t="n">
        <v>30.44798149</v>
      </c>
      <c r="R61" s="20" t="n">
        <v>2.50148044</v>
      </c>
    </row>
    <row r="62" spans="1:18">
      <c r="A62" s="15" t="s">
        <v>404</v>
      </c>
      <c r="B62" s="17" t="n">
        <v>2246</v>
      </c>
      <c r="C62" s="18">
        <f>(1965.0/B62*100)</f>
        <v/>
      </c>
      <c r="D62" s="19" t="n">
        <v>281</v>
      </c>
      <c r="E62" s="18" t="n">
        <v>73.62489881</v>
      </c>
      <c r="F62" s="20" t="n">
        <v>2.82387523</v>
      </c>
      <c r="G62" s="18" t="n">
        <v>18.87999442</v>
      </c>
      <c r="H62" s="20" t="n">
        <v>2.28926201</v>
      </c>
      <c r="I62" s="18" t="s">
        <v>349</v>
      </c>
      <c r="J62" s="20" t="s">
        <v>349</v>
      </c>
      <c r="K62" s="18" t="n">
        <v>0</v>
      </c>
      <c r="L62" s="20" t="n">
        <v>0</v>
      </c>
      <c r="M62" s="18" t="n">
        <v>0</v>
      </c>
      <c r="N62" s="20" t="n">
        <v>0</v>
      </c>
      <c r="O62" s="18" t="n">
        <v>0</v>
      </c>
      <c r="P62" s="20" t="n">
        <v>0</v>
      </c>
      <c r="Q62" s="18" t="n">
        <v>7.49510677</v>
      </c>
      <c r="R62" s="20" t="n">
        <v>1.69104654</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(2541.0/B66*100)</f>
        <v/>
      </c>
      <c r="D66" s="19" t="n">
        <v>353</v>
      </c>
      <c r="E66" s="18" t="n">
        <v>46.42725698</v>
      </c>
      <c r="F66" s="20" t="n">
        <v>3.04312091</v>
      </c>
      <c r="G66" s="18" t="n">
        <v>2.0541306</v>
      </c>
      <c r="H66" s="20" t="n">
        <v>0.76713837</v>
      </c>
      <c r="I66" s="18" t="s">
        <v>349</v>
      </c>
      <c r="J66" s="20" t="s">
        <v>349</v>
      </c>
      <c r="K66" s="18" t="n">
        <v>0.53852716</v>
      </c>
      <c r="L66" s="20" t="n">
        <v>0.38201456</v>
      </c>
      <c r="M66" s="18" t="n">
        <v>0.24821946</v>
      </c>
      <c r="N66" s="20" t="n">
        <v>0.24923081</v>
      </c>
      <c r="O66" s="18" t="n">
        <v>0</v>
      </c>
      <c r="P66" s="20" t="n">
        <v>0</v>
      </c>
      <c r="Q66" s="18" t="n">
        <v>50.7318658</v>
      </c>
      <c r="R66" s="20" t="n">
        <v>2.9415214</v>
      </c>
    </row>
    <row r="67" spans="1:18">
      <c r="A67" s="15" t="s">
        <v>409</v>
      </c>
      <c r="B67" s="17" t="n">
        <v>3511</v>
      </c>
      <c r="C67" s="18">
        <f>(3086.0/B67*100)</f>
        <v/>
      </c>
      <c r="D67" s="19" t="n">
        <v>425</v>
      </c>
      <c r="E67" s="18" t="n">
        <v>64.88861898</v>
      </c>
      <c r="F67" s="20" t="n">
        <v>2.29588044</v>
      </c>
      <c r="G67" s="18" t="n">
        <v>0.21898435</v>
      </c>
      <c r="H67" s="20" t="n">
        <v>0.21915067</v>
      </c>
      <c r="I67" s="18" t="s">
        <v>349</v>
      </c>
      <c r="J67" s="20" t="s">
        <v>349</v>
      </c>
      <c r="K67" s="18" t="n">
        <v>0.18616071</v>
      </c>
      <c r="L67" s="20" t="n">
        <v>0.19151934</v>
      </c>
      <c r="M67" s="18" t="n">
        <v>0</v>
      </c>
      <c r="N67" s="20" t="n">
        <v>0</v>
      </c>
      <c r="O67" s="18" t="n">
        <v>0</v>
      </c>
      <c r="P67" s="20" t="n">
        <v>0</v>
      </c>
      <c r="Q67" s="18" t="n">
        <v>34.70623596</v>
      </c>
      <c r="R67" s="20" t="n">
        <v>2.19679439</v>
      </c>
    </row>
    <row r="68" spans="1:18">
      <c r="A68" s="15" t="s">
        <v>410</v>
      </c>
      <c r="B68" s="17" t="n">
        <v>6049</v>
      </c>
      <c r="C68" s="18">
        <f>(5056.0/B68*100)</f>
        <v/>
      </c>
      <c r="D68" s="19" t="n">
        <v>993</v>
      </c>
      <c r="E68" s="18" t="n">
        <v>68.56768803999999</v>
      </c>
      <c r="F68" s="20" t="n">
        <v>1.52365015</v>
      </c>
      <c r="G68" s="18" t="n">
        <v>2.22499462</v>
      </c>
      <c r="H68" s="20" t="n">
        <v>0.44477403</v>
      </c>
      <c r="I68" s="18" t="s">
        <v>349</v>
      </c>
      <c r="J68" s="20" t="s">
        <v>349</v>
      </c>
      <c r="K68" s="18" t="n">
        <v>2.56327342</v>
      </c>
      <c r="L68" s="20" t="n">
        <v>0.48355198</v>
      </c>
      <c r="M68" s="18" t="n">
        <v>0.11069676</v>
      </c>
      <c r="N68" s="20" t="n">
        <v>0.11085523</v>
      </c>
      <c r="O68" s="18" t="n">
        <v>0</v>
      </c>
      <c r="P68" s="20" t="n">
        <v>0</v>
      </c>
      <c r="Q68" s="18" t="n">
        <v>26.53334717</v>
      </c>
      <c r="R68" s="20" t="n">
        <v>1.55400915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(2547.0/B70*100)</f>
        <v/>
      </c>
      <c r="D70" s="19" t="n">
        <v>382</v>
      </c>
      <c r="E70" s="18" t="n">
        <v>67.26045028999999</v>
      </c>
      <c r="F70" s="20" t="n">
        <v>2.71003065</v>
      </c>
      <c r="G70" s="18" t="n">
        <v>7.90021266</v>
      </c>
      <c r="H70" s="20" t="n">
        <v>1.537523</v>
      </c>
      <c r="I70" s="18" t="s">
        <v>349</v>
      </c>
      <c r="J70" s="20" t="s">
        <v>349</v>
      </c>
      <c r="K70" s="18" t="n">
        <v>0.16983457</v>
      </c>
      <c r="L70" s="20" t="n">
        <v>0.17236524</v>
      </c>
      <c r="M70" s="18" t="n">
        <v>1.25741621</v>
      </c>
      <c r="N70" s="20" t="n">
        <v>0.59617922</v>
      </c>
      <c r="O70" s="18" t="n">
        <v>0</v>
      </c>
      <c r="P70" s="20" t="n">
        <v>0</v>
      </c>
      <c r="Q70" s="18" t="n">
        <v>23.41208628</v>
      </c>
      <c r="R70" s="20" t="n">
        <v>2.48390918</v>
      </c>
    </row>
    <row r="71" spans="1:18">
      <c r="A71" s="15" t="s">
        <v>413</v>
      </c>
      <c r="B71" s="17" t="n">
        <v>3142</v>
      </c>
      <c r="C71" s="18">
        <f>(2744.0/B71*100)</f>
        <v/>
      </c>
      <c r="D71" s="19" t="n">
        <v>398</v>
      </c>
      <c r="E71" s="18" t="n">
        <v>54.63606391</v>
      </c>
      <c r="F71" s="20" t="n">
        <v>2.71112646</v>
      </c>
      <c r="G71" s="18" t="n">
        <v>35.13393441</v>
      </c>
      <c r="H71" s="20" t="n">
        <v>2.53774307</v>
      </c>
      <c r="I71" s="18" t="s">
        <v>349</v>
      </c>
      <c r="J71" s="20" t="s">
        <v>349</v>
      </c>
      <c r="K71" s="18" t="n">
        <v>0.29650894</v>
      </c>
      <c r="L71" s="20" t="n">
        <v>0.29606956</v>
      </c>
      <c r="M71" s="18" t="n">
        <v>0</v>
      </c>
      <c r="N71" s="20" t="n">
        <v>0</v>
      </c>
      <c r="O71" s="18" t="n">
        <v>0</v>
      </c>
      <c r="P71" s="20" t="n">
        <v>0</v>
      </c>
      <c r="Q71" s="18" t="n">
        <v>9.933492729999999</v>
      </c>
      <c r="R71" s="20" t="n">
        <v>1.55424934</v>
      </c>
    </row>
    <row r="72" spans="1:18">
      <c r="A72" s="15" t="s">
        <v>414</v>
      </c>
      <c r="B72" s="17" t="n">
        <v>3889</v>
      </c>
      <c r="C72" s="18">
        <f>(3400.0/B72*100)</f>
        <v/>
      </c>
      <c r="D72" s="19" t="n">
        <v>489</v>
      </c>
      <c r="E72" s="18" t="n">
        <v>60.27663165</v>
      </c>
      <c r="F72" s="20" t="n">
        <v>2.58359204</v>
      </c>
      <c r="G72" s="18" t="n">
        <v>21.37506008</v>
      </c>
      <c r="H72" s="20" t="n">
        <v>2.38791841</v>
      </c>
      <c r="I72" s="18" t="s">
        <v>349</v>
      </c>
      <c r="J72" s="20" t="s">
        <v>349</v>
      </c>
      <c r="K72" s="18" t="n">
        <v>0</v>
      </c>
      <c r="L72" s="20" t="n">
        <v>0</v>
      </c>
      <c r="M72" s="18" t="n">
        <v>0</v>
      </c>
      <c r="N72" s="20" t="n">
        <v>0</v>
      </c>
      <c r="O72" s="18" t="n">
        <v>0</v>
      </c>
      <c r="P72" s="20" t="n">
        <v>0</v>
      </c>
      <c r="Q72" s="18" t="n">
        <v>18.34830828</v>
      </c>
      <c r="R72" s="20" t="n">
        <v>1.72242376</v>
      </c>
    </row>
    <row r="73" spans="1:18">
      <c r="A73" s="15" t="s">
        <v>415</v>
      </c>
      <c r="B73" s="17" t="n">
        <v>3597</v>
      </c>
      <c r="C73" s="18">
        <f>(3169.0/B73*100)</f>
        <v/>
      </c>
      <c r="D73" s="19" t="n">
        <v>428</v>
      </c>
      <c r="E73" s="18" t="n">
        <v>87.5143418</v>
      </c>
      <c r="F73" s="20" t="n">
        <v>2.02977317</v>
      </c>
      <c r="G73" s="18" t="n">
        <v>2.14883081</v>
      </c>
      <c r="H73" s="20" t="n">
        <v>1.05817029</v>
      </c>
      <c r="I73" s="18" t="s">
        <v>349</v>
      </c>
      <c r="J73" s="20" t="s">
        <v>349</v>
      </c>
      <c r="K73" s="18" t="n">
        <v>0</v>
      </c>
      <c r="L73" s="20" t="n">
        <v>0</v>
      </c>
      <c r="M73" s="18" t="n">
        <v>0</v>
      </c>
      <c r="N73" s="20" t="n">
        <v>0</v>
      </c>
      <c r="O73" s="18" t="n">
        <v>0</v>
      </c>
      <c r="P73" s="20" t="n">
        <v>0</v>
      </c>
      <c r="Q73" s="18" t="n">
        <v>10.33682739</v>
      </c>
      <c r="R73" s="20" t="n">
        <v>1.95832888</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(2142.0/B75*100)</f>
        <v/>
      </c>
      <c r="D75" s="19" t="n">
        <v>264</v>
      </c>
      <c r="E75" s="18" t="n">
        <v>63.03058711</v>
      </c>
      <c r="F75" s="20" t="n">
        <v>3.13067282</v>
      </c>
      <c r="G75" s="18" t="n">
        <v>2.03189454</v>
      </c>
      <c r="H75" s="20" t="n">
        <v>1.15351469</v>
      </c>
      <c r="I75" s="18" t="s">
        <v>349</v>
      </c>
      <c r="J75" s="20" t="s">
        <v>349</v>
      </c>
      <c r="K75" s="18" t="n">
        <v>1.33578993</v>
      </c>
      <c r="L75" s="20" t="n">
        <v>0.82448932</v>
      </c>
      <c r="M75" s="18" t="n">
        <v>0</v>
      </c>
      <c r="N75" s="20" t="n">
        <v>0</v>
      </c>
      <c r="O75" s="18" t="n">
        <v>0</v>
      </c>
      <c r="P75" s="20" t="n">
        <v>0</v>
      </c>
      <c r="Q75" s="18" t="n">
        <v>33.60172842</v>
      </c>
      <c r="R75" s="20" t="n">
        <v>3.12374019</v>
      </c>
    </row>
    <row r="76" spans="1:18">
      <c r="A76" s="15" t="s">
        <v>418</v>
      </c>
      <c r="B76" s="17" t="n">
        <v>7052</v>
      </c>
      <c r="C76" s="18">
        <f>(6197.0/B76*100)</f>
        <v/>
      </c>
      <c r="D76" s="19" t="n">
        <v>855</v>
      </c>
      <c r="E76" s="18" t="n">
        <v>75.72229160000001</v>
      </c>
      <c r="F76" s="20" t="n">
        <v>2.17126655</v>
      </c>
      <c r="G76" s="18" t="n">
        <v>5.13461509</v>
      </c>
      <c r="H76" s="20" t="n">
        <v>1.05582208</v>
      </c>
      <c r="I76" s="18" t="s">
        <v>349</v>
      </c>
      <c r="J76" s="20" t="s">
        <v>349</v>
      </c>
      <c r="K76" s="18" t="n">
        <v>0.75450025</v>
      </c>
      <c r="L76" s="20" t="n">
        <v>0.35836521</v>
      </c>
      <c r="M76" s="18" t="n">
        <v>0.04935369</v>
      </c>
      <c r="N76" s="20" t="n">
        <v>0.0496359</v>
      </c>
      <c r="O76" s="18" t="n">
        <v>0</v>
      </c>
      <c r="P76" s="20" t="n">
        <v>0</v>
      </c>
      <c r="Q76" s="18" t="n">
        <v>18.33923937</v>
      </c>
      <c r="R76" s="20" t="n">
        <v>1.92212752</v>
      </c>
    </row>
    <row r="77" spans="1:18">
      <c r="A77" s="15" t="s">
        <v>419</v>
      </c>
      <c r="B77" s="17" t="n">
        <v>2908</v>
      </c>
      <c r="C77" s="18">
        <f>(2559.0/B77*100)</f>
        <v/>
      </c>
      <c r="D77" s="19" t="n">
        <v>349</v>
      </c>
      <c r="E77" s="18" t="n">
        <v>58.0697005</v>
      </c>
      <c r="F77" s="20" t="n">
        <v>3.26558466</v>
      </c>
      <c r="G77" s="18" t="n">
        <v>2.33115334</v>
      </c>
      <c r="H77" s="20" t="n">
        <v>0.8908077599999999</v>
      </c>
      <c r="I77" s="18" t="s">
        <v>349</v>
      </c>
      <c r="J77" s="20" t="s">
        <v>349</v>
      </c>
      <c r="K77" s="18" t="n">
        <v>1.25094228</v>
      </c>
      <c r="L77" s="20" t="n">
        <v>0.67630631</v>
      </c>
      <c r="M77" s="18" t="n">
        <v>0.5236726900000001</v>
      </c>
      <c r="N77" s="20" t="n">
        <v>0.37110406</v>
      </c>
      <c r="O77" s="18" t="n">
        <v>0</v>
      </c>
      <c r="P77" s="20" t="n">
        <v>0</v>
      </c>
      <c r="Q77" s="18" t="n">
        <v>37.82453119</v>
      </c>
      <c r="R77" s="20" t="n">
        <v>3.11899368</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(3641.0/B81*100)</f>
        <v/>
      </c>
      <c r="D81" s="19" t="n">
        <v>522</v>
      </c>
      <c r="E81" s="18" t="n">
        <v>87.07211221</v>
      </c>
      <c r="F81" s="20" t="n">
        <v>1.9783002</v>
      </c>
      <c r="G81" s="18" t="n">
        <v>1.28779606</v>
      </c>
      <c r="H81" s="20" t="n">
        <v>0.58760645</v>
      </c>
      <c r="I81" s="18" t="s">
        <v>349</v>
      </c>
      <c r="J81" s="20" t="s">
        <v>349</v>
      </c>
      <c r="K81" s="18" t="n">
        <v>0</v>
      </c>
      <c r="L81" s="20" t="n">
        <v>0</v>
      </c>
      <c r="M81" s="18" t="n">
        <v>0</v>
      </c>
      <c r="N81" s="20" t="n">
        <v>0</v>
      </c>
      <c r="O81" s="18" t="n">
        <v>0</v>
      </c>
      <c r="P81" s="20" t="n">
        <v>0</v>
      </c>
      <c r="Q81" s="18" t="n">
        <v>11.64009173</v>
      </c>
      <c r="R81" s="20" t="n">
        <v>1.84132174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(6444.0/B7*100)</f>
        <v/>
      </c>
      <c r="D7" s="19" t="n">
        <v>923</v>
      </c>
      <c r="E7" s="18" t="n">
        <v>40.1974304</v>
      </c>
      <c r="F7" s="20" t="n">
        <v>1.79069843</v>
      </c>
      <c r="G7" s="18" t="n">
        <v>57.64422276</v>
      </c>
      <c r="H7" s="20" t="n">
        <v>1.76927187</v>
      </c>
      <c r="I7" s="18" t="s">
        <v>349</v>
      </c>
      <c r="J7" s="20" t="s">
        <v>349</v>
      </c>
      <c r="K7" s="18" t="n">
        <v>0.4311367</v>
      </c>
      <c r="L7" s="20" t="n">
        <v>0.26661197</v>
      </c>
      <c r="M7" s="18" t="n">
        <v>0</v>
      </c>
      <c r="N7" s="20" t="n">
        <v>0</v>
      </c>
      <c r="O7" s="18" t="n">
        <v>0</v>
      </c>
      <c r="P7" s="20" t="n">
        <v>0</v>
      </c>
      <c r="Q7" s="18" t="n">
        <v>1.72721014</v>
      </c>
      <c r="R7" s="20" t="n">
        <v>0.6083557000000001</v>
      </c>
    </row>
    <row r="8" spans="1:18">
      <c r="A8" s="15" t="s">
        <v>350</v>
      </c>
      <c r="B8" s="17" t="n">
        <v>3564</v>
      </c>
      <c r="C8" s="18">
        <f>(3127.0/B8*100)</f>
        <v/>
      </c>
      <c r="D8" s="19" t="n">
        <v>437</v>
      </c>
      <c r="E8" s="18" t="n">
        <v>37.82132769</v>
      </c>
      <c r="F8" s="20" t="n">
        <v>3.15241967</v>
      </c>
      <c r="G8" s="18" t="n">
        <v>60.85129099</v>
      </c>
      <c r="H8" s="20" t="n">
        <v>3.16288302</v>
      </c>
      <c r="I8" s="18" t="s">
        <v>349</v>
      </c>
      <c r="J8" s="20" t="s">
        <v>349</v>
      </c>
      <c r="K8" s="18" t="n">
        <v>0</v>
      </c>
      <c r="L8" s="20" t="n">
        <v>0</v>
      </c>
      <c r="M8" s="18" t="n">
        <v>0</v>
      </c>
      <c r="N8" s="20" t="n">
        <v>0</v>
      </c>
      <c r="O8" s="18" t="n">
        <v>0</v>
      </c>
      <c r="P8" s="20" t="n">
        <v>0</v>
      </c>
      <c r="Q8" s="18" t="n">
        <v>1.32738131</v>
      </c>
      <c r="R8" s="20" t="n">
        <v>0.5246413599999999</v>
      </c>
    </row>
    <row r="9" spans="1:18">
      <c r="A9" s="15" t="s">
        <v>351</v>
      </c>
      <c r="B9" s="17" t="n">
        <v>4899</v>
      </c>
      <c r="C9" s="18">
        <f>(4334.0/B9*100)</f>
        <v/>
      </c>
      <c r="D9" s="19" t="n">
        <v>565</v>
      </c>
      <c r="E9" s="18" t="n">
        <v>36.121387</v>
      </c>
      <c r="F9" s="20" t="n">
        <v>1.90173742</v>
      </c>
      <c r="G9" s="18" t="n">
        <v>61.63671694</v>
      </c>
      <c r="H9" s="20" t="n">
        <v>1.90005435</v>
      </c>
      <c r="I9" s="18" t="s">
        <v>349</v>
      </c>
      <c r="J9" s="20" t="s">
        <v>349</v>
      </c>
      <c r="K9" s="18" t="n">
        <v>0.45136408</v>
      </c>
      <c r="L9" s="20" t="n">
        <v>0.30753504</v>
      </c>
      <c r="M9" s="18" t="n">
        <v>0</v>
      </c>
      <c r="N9" s="20" t="n">
        <v>0</v>
      </c>
      <c r="O9" s="18" t="n">
        <v>0</v>
      </c>
      <c r="P9" s="20" t="n">
        <v>0</v>
      </c>
      <c r="Q9" s="18" t="n">
        <v>1.79053197</v>
      </c>
      <c r="R9" s="20" t="n">
        <v>0.53674822</v>
      </c>
    </row>
    <row r="10" spans="1:18">
      <c r="A10" s="15" t="s">
        <v>352</v>
      </c>
      <c r="B10" s="17" t="n">
        <v>10036</v>
      </c>
      <c r="C10" s="18">
        <f>(8823.0/B10*100)</f>
        <v/>
      </c>
      <c r="D10" s="19" t="n">
        <v>1213</v>
      </c>
      <c r="E10" s="18" t="n">
        <v>32.2455946</v>
      </c>
      <c r="F10" s="20" t="n">
        <v>1.89549884</v>
      </c>
      <c r="G10" s="18" t="n">
        <v>66.66535591</v>
      </c>
      <c r="H10" s="20" t="n">
        <v>1.88943422</v>
      </c>
      <c r="I10" s="18" t="s">
        <v>349</v>
      </c>
      <c r="J10" s="20" t="s">
        <v>349</v>
      </c>
      <c r="K10" s="18" t="n">
        <v>0.60308049</v>
      </c>
      <c r="L10" s="20" t="n">
        <v>0.23194582</v>
      </c>
      <c r="M10" s="18" t="n">
        <v>0</v>
      </c>
      <c r="N10" s="20" t="n">
        <v>0</v>
      </c>
      <c r="O10" s="18" t="n">
        <v>0</v>
      </c>
      <c r="P10" s="20" t="n">
        <v>0</v>
      </c>
      <c r="Q10" s="18" t="n">
        <v>0.485969</v>
      </c>
      <c r="R10" s="20" t="n">
        <v>0.27063464</v>
      </c>
    </row>
    <row r="11" spans="1:18">
      <c r="A11" s="15" t="s">
        <v>353</v>
      </c>
      <c r="B11" s="17" t="n">
        <v>3553</v>
      </c>
      <c r="C11" s="18">
        <f>(3134.0/B11*100)</f>
        <v/>
      </c>
      <c r="D11" s="19" t="n">
        <v>419</v>
      </c>
      <c r="E11" s="18" t="n">
        <v>46.21025238</v>
      </c>
      <c r="F11" s="20" t="n">
        <v>2.54993037</v>
      </c>
      <c r="G11" s="18" t="n">
        <v>52.41054621</v>
      </c>
      <c r="H11" s="20" t="n">
        <v>2.36878806</v>
      </c>
      <c r="I11" s="18" t="s">
        <v>349</v>
      </c>
      <c r="J11" s="20" t="s">
        <v>349</v>
      </c>
      <c r="K11" s="18" t="n">
        <v>0.3983234</v>
      </c>
      <c r="L11" s="20" t="n">
        <v>0.32475812</v>
      </c>
      <c r="M11" s="18" t="n">
        <v>0</v>
      </c>
      <c r="N11" s="20" t="n">
        <v>0</v>
      </c>
      <c r="O11" s="18" t="n">
        <v>0</v>
      </c>
      <c r="P11" s="20" t="n">
        <v>0</v>
      </c>
      <c r="Q11" s="18" t="n">
        <v>0.98087801</v>
      </c>
      <c r="R11" s="20" t="n">
        <v>0.58687603</v>
      </c>
    </row>
    <row r="12" spans="1:18">
      <c r="A12" s="15" t="s">
        <v>354</v>
      </c>
      <c r="B12" s="17" t="n">
        <v>3472</v>
      </c>
      <c r="C12" s="18">
        <f>(3053.0/B12*100)</f>
        <v/>
      </c>
      <c r="D12" s="19" t="n">
        <v>419</v>
      </c>
      <c r="E12" s="18" t="n">
        <v>37.08655667</v>
      </c>
      <c r="F12" s="20" t="n">
        <v>2.97139763</v>
      </c>
      <c r="G12" s="18" t="n">
        <v>62.03791259</v>
      </c>
      <c r="H12" s="20" t="n">
        <v>3.04260416</v>
      </c>
      <c r="I12" s="18" t="s">
        <v>349</v>
      </c>
      <c r="J12" s="20" t="s">
        <v>349</v>
      </c>
      <c r="K12" s="18" t="n">
        <v>0</v>
      </c>
      <c r="L12" s="20" t="n">
        <v>0</v>
      </c>
      <c r="M12" s="18" t="n">
        <v>0</v>
      </c>
      <c r="N12" s="20" t="n">
        <v>0</v>
      </c>
      <c r="O12" s="18" t="n">
        <v>0</v>
      </c>
      <c r="P12" s="20" t="n">
        <v>0</v>
      </c>
      <c r="Q12" s="18" t="n">
        <v>0.87553074</v>
      </c>
      <c r="R12" s="20" t="n">
        <v>0.52332625</v>
      </c>
    </row>
    <row r="13" spans="1:18">
      <c r="A13" s="15" t="s">
        <v>355</v>
      </c>
      <c r="B13" s="17" t="n">
        <v>3559</v>
      </c>
      <c r="C13" s="18">
        <f>(3139.0/B13*100)</f>
        <v/>
      </c>
      <c r="D13" s="19" t="n">
        <v>420</v>
      </c>
      <c r="E13" s="18" t="n">
        <v>26.57321968</v>
      </c>
      <c r="F13" s="20" t="n">
        <v>2.460295</v>
      </c>
      <c r="G13" s="18" t="n">
        <v>72.1554744</v>
      </c>
      <c r="H13" s="20" t="n">
        <v>2.43972314</v>
      </c>
      <c r="I13" s="18" t="s">
        <v>349</v>
      </c>
      <c r="J13" s="20" t="s">
        <v>349</v>
      </c>
      <c r="K13" s="18" t="n">
        <v>0.64330234</v>
      </c>
      <c r="L13" s="20" t="n">
        <v>0.57978254</v>
      </c>
      <c r="M13" s="18" t="n">
        <v>0</v>
      </c>
      <c r="N13" s="20" t="n">
        <v>0</v>
      </c>
      <c r="O13" s="18" t="n">
        <v>0</v>
      </c>
      <c r="P13" s="20" t="n">
        <v>0</v>
      </c>
      <c r="Q13" s="18" t="n">
        <v>0.62800358</v>
      </c>
      <c r="R13" s="20" t="n">
        <v>0.37156807</v>
      </c>
    </row>
    <row r="14" spans="1:18">
      <c r="A14" s="15" t="s">
        <v>356</v>
      </c>
      <c r="B14" s="17" t="n">
        <v>2799</v>
      </c>
      <c r="C14" s="18">
        <f>(2475.0/B14*100)</f>
        <v/>
      </c>
      <c r="D14" s="19" t="n">
        <v>324</v>
      </c>
      <c r="E14" s="18" t="n">
        <v>30.32622224</v>
      </c>
      <c r="F14" s="20" t="n">
        <v>2.97838673</v>
      </c>
      <c r="G14" s="18" t="n">
        <v>68.8437052</v>
      </c>
      <c r="H14" s="20" t="n">
        <v>2.97925624</v>
      </c>
      <c r="I14" s="18" t="s">
        <v>349</v>
      </c>
      <c r="J14" s="20" t="s">
        <v>349</v>
      </c>
      <c r="K14" s="18" t="n">
        <v>0.32433106</v>
      </c>
      <c r="L14" s="20" t="n">
        <v>0.32758959</v>
      </c>
      <c r="M14" s="18" t="n">
        <v>0</v>
      </c>
      <c r="N14" s="20" t="n">
        <v>0</v>
      </c>
      <c r="O14" s="18" t="n">
        <v>0</v>
      </c>
      <c r="P14" s="20" t="n">
        <v>0</v>
      </c>
      <c r="Q14" s="18" t="n">
        <v>0.50574149</v>
      </c>
      <c r="R14" s="20" t="n">
        <v>0.37100183</v>
      </c>
    </row>
    <row r="15" spans="1:18">
      <c r="A15" s="15" t="s">
        <v>357</v>
      </c>
      <c r="B15" s="17" t="n">
        <v>3019</v>
      </c>
      <c r="C15" s="18">
        <f>(2649.0/B15*100)</f>
        <v/>
      </c>
      <c r="D15" s="19" t="n">
        <v>370</v>
      </c>
      <c r="E15" s="18" t="n">
        <v>25.12186913</v>
      </c>
      <c r="F15" s="20" t="n">
        <v>2.37523963</v>
      </c>
      <c r="G15" s="18" t="n">
        <v>74.0975069</v>
      </c>
      <c r="H15" s="20" t="n">
        <v>2.38182338</v>
      </c>
      <c r="I15" s="18" t="s">
        <v>349</v>
      </c>
      <c r="J15" s="20" t="s">
        <v>349</v>
      </c>
      <c r="K15" s="18" t="n">
        <v>0.24304975</v>
      </c>
      <c r="L15" s="20" t="n">
        <v>0.24303682</v>
      </c>
      <c r="M15" s="18" t="n">
        <v>0</v>
      </c>
      <c r="N15" s="20" t="n">
        <v>0</v>
      </c>
      <c r="O15" s="18" t="n">
        <v>0</v>
      </c>
      <c r="P15" s="20" t="n">
        <v>0</v>
      </c>
      <c r="Q15" s="18" t="n">
        <v>0.53757422</v>
      </c>
      <c r="R15" s="20" t="n">
        <v>0.37989796</v>
      </c>
    </row>
    <row r="16" spans="1:18">
      <c r="A16" s="15" t="s">
        <v>358</v>
      </c>
      <c r="B16" s="17" t="n">
        <v>2997</v>
      </c>
      <c r="C16" s="18">
        <f>(2639.0/B16*100)</f>
        <v/>
      </c>
      <c r="D16" s="19" t="n">
        <v>358</v>
      </c>
      <c r="E16" s="18" t="n">
        <v>36.07031366</v>
      </c>
      <c r="F16" s="20" t="n">
        <v>2.96194235</v>
      </c>
      <c r="G16" s="18" t="n">
        <v>61.8740932</v>
      </c>
      <c r="H16" s="20" t="n">
        <v>2.96663018</v>
      </c>
      <c r="I16" s="18" t="s">
        <v>349</v>
      </c>
      <c r="J16" s="20" t="s">
        <v>349</v>
      </c>
      <c r="K16" s="18" t="n">
        <v>0.84909394</v>
      </c>
      <c r="L16" s="20" t="n">
        <v>0.55949603</v>
      </c>
      <c r="M16" s="18" t="n">
        <v>0</v>
      </c>
      <c r="N16" s="20" t="n">
        <v>0</v>
      </c>
      <c r="O16" s="18" t="n">
        <v>0</v>
      </c>
      <c r="P16" s="20" t="n">
        <v>0</v>
      </c>
      <c r="Q16" s="18" t="n">
        <v>1.20649919</v>
      </c>
      <c r="R16" s="20" t="n">
        <v>0.55603641</v>
      </c>
    </row>
    <row r="17" spans="1:18">
      <c r="A17" s="15" t="s">
        <v>359</v>
      </c>
      <c r="B17" s="17" t="n">
        <v>3307</v>
      </c>
      <c r="C17" s="18">
        <f>(2891.0/B17*100)</f>
        <v/>
      </c>
      <c r="D17" s="19" t="n">
        <v>416</v>
      </c>
      <c r="E17" s="18" t="n">
        <v>33.36497713</v>
      </c>
      <c r="F17" s="20" t="n">
        <v>2.48569537</v>
      </c>
      <c r="G17" s="18" t="n">
        <v>65.9286798</v>
      </c>
      <c r="H17" s="20" t="n">
        <v>2.55244149</v>
      </c>
      <c r="I17" s="18" t="s">
        <v>349</v>
      </c>
      <c r="J17" s="20" t="s">
        <v>349</v>
      </c>
      <c r="K17" s="18" t="n">
        <v>0.70634307</v>
      </c>
      <c r="L17" s="20" t="n">
        <v>0.44115832</v>
      </c>
      <c r="M17" s="18" t="n">
        <v>0</v>
      </c>
      <c r="N17" s="20" t="n">
        <v>0</v>
      </c>
      <c r="O17" s="18" t="n">
        <v>0</v>
      </c>
      <c r="P17" s="20" t="n">
        <v>0</v>
      </c>
      <c r="Q17" s="18" t="n">
        <v>0</v>
      </c>
      <c r="R17" s="20" t="n">
        <v>0</v>
      </c>
    </row>
    <row r="18" spans="1:18">
      <c r="A18" s="15" t="s">
        <v>360</v>
      </c>
      <c r="B18" s="17" t="n">
        <v>2826</v>
      </c>
      <c r="C18" s="18">
        <f>(2485.0/B18*100)</f>
        <v/>
      </c>
      <c r="D18" s="19" t="n">
        <v>341</v>
      </c>
      <c r="E18" s="18" t="n">
        <v>39.15073244</v>
      </c>
      <c r="F18" s="20" t="n">
        <v>2.8998619</v>
      </c>
      <c r="G18" s="18" t="n">
        <v>59.4888566</v>
      </c>
      <c r="H18" s="20" t="n">
        <v>2.85859622</v>
      </c>
      <c r="I18" s="18" t="s">
        <v>349</v>
      </c>
      <c r="J18" s="20" t="s">
        <v>349</v>
      </c>
      <c r="K18" s="18" t="n">
        <v>1.05921302</v>
      </c>
      <c r="L18" s="20" t="n">
        <v>0.61872554</v>
      </c>
      <c r="M18" s="18" t="n">
        <v>0</v>
      </c>
      <c r="N18" s="20" t="n">
        <v>0</v>
      </c>
      <c r="O18" s="18" t="n">
        <v>0</v>
      </c>
      <c r="P18" s="20" t="n">
        <v>0</v>
      </c>
      <c r="Q18" s="18" t="n">
        <v>0.30119793</v>
      </c>
      <c r="R18" s="20" t="n">
        <v>0.31374225</v>
      </c>
    </row>
    <row r="19" spans="1:18">
      <c r="A19" s="15" t="s">
        <v>361</v>
      </c>
      <c r="B19" s="17" t="n">
        <v>2808</v>
      </c>
      <c r="C19" s="18">
        <f>(2462.0/B19*100)</f>
        <v/>
      </c>
      <c r="D19" s="19" t="n">
        <v>346</v>
      </c>
      <c r="E19" s="18" t="n">
        <v>44.36469278</v>
      </c>
      <c r="F19" s="20" t="n">
        <v>2.80261457</v>
      </c>
      <c r="G19" s="18" t="n">
        <v>54.8732614</v>
      </c>
      <c r="H19" s="20" t="n">
        <v>2.83912012</v>
      </c>
      <c r="I19" s="18" t="s">
        <v>349</v>
      </c>
      <c r="J19" s="20" t="s">
        <v>349</v>
      </c>
      <c r="K19" s="18" t="n">
        <v>0</v>
      </c>
      <c r="L19" s="20" t="n">
        <v>0</v>
      </c>
      <c r="M19" s="18" t="n">
        <v>0</v>
      </c>
      <c r="N19" s="20" t="n">
        <v>0</v>
      </c>
      <c r="O19" s="18" t="n">
        <v>0</v>
      </c>
      <c r="P19" s="20" t="n">
        <v>0</v>
      </c>
      <c r="Q19" s="18" t="n">
        <v>0.76204582</v>
      </c>
      <c r="R19" s="20" t="n">
        <v>0.41865219</v>
      </c>
    </row>
    <row r="20" spans="1:18">
      <c r="A20" s="15" t="s">
        <v>362</v>
      </c>
      <c r="B20" s="17" t="n">
        <v>1630</v>
      </c>
      <c r="C20" s="18">
        <f>(1434.0/B20*100)</f>
        <v/>
      </c>
      <c r="D20" s="19" t="n">
        <v>196</v>
      </c>
      <c r="E20" s="18" t="n">
        <v>32.22446778</v>
      </c>
      <c r="F20" s="20" t="n">
        <v>3.08873747</v>
      </c>
      <c r="G20" s="18" t="n">
        <v>65.8134032</v>
      </c>
      <c r="H20" s="20" t="n">
        <v>3.2884424</v>
      </c>
      <c r="I20" s="18" t="s">
        <v>349</v>
      </c>
      <c r="J20" s="20" t="s">
        <v>349</v>
      </c>
      <c r="K20" s="18" t="n">
        <v>0</v>
      </c>
      <c r="L20" s="20" t="n">
        <v>0</v>
      </c>
      <c r="M20" s="18" t="n">
        <v>0</v>
      </c>
      <c r="N20" s="20" t="n">
        <v>0</v>
      </c>
      <c r="O20" s="18" t="n">
        <v>0</v>
      </c>
      <c r="P20" s="20" t="n">
        <v>0</v>
      </c>
      <c r="Q20" s="18" t="n">
        <v>1.96212902</v>
      </c>
      <c r="R20" s="20" t="n">
        <v>0.93926063</v>
      </c>
    </row>
    <row r="21" spans="1:18">
      <c r="A21" s="15" t="s">
        <v>363</v>
      </c>
      <c r="B21" s="17" t="n">
        <v>2908</v>
      </c>
      <c r="C21" s="18">
        <f>(2414.0/B21*100)</f>
        <v/>
      </c>
      <c r="D21" s="19" t="n">
        <v>494</v>
      </c>
      <c r="E21" s="18" t="n">
        <v>30.84598828</v>
      </c>
      <c r="F21" s="20" t="n">
        <v>1.86275155</v>
      </c>
      <c r="G21" s="18" t="n">
        <v>68.55815219999999</v>
      </c>
      <c r="H21" s="20" t="n">
        <v>1.85707083</v>
      </c>
      <c r="I21" s="18" t="s">
        <v>349</v>
      </c>
      <c r="J21" s="20" t="s">
        <v>349</v>
      </c>
      <c r="K21" s="18" t="n">
        <v>0.18946945</v>
      </c>
      <c r="L21" s="20" t="n">
        <v>0.18886372</v>
      </c>
      <c r="M21" s="18" t="n">
        <v>0</v>
      </c>
      <c r="N21" s="20" t="n">
        <v>0</v>
      </c>
      <c r="O21" s="18" t="n">
        <v>0</v>
      </c>
      <c r="P21" s="20" t="n">
        <v>0</v>
      </c>
      <c r="Q21" s="18" t="n">
        <v>0.40639007</v>
      </c>
      <c r="R21" s="20" t="n">
        <v>0.29782753</v>
      </c>
    </row>
    <row r="22" spans="1:18">
      <c r="A22" s="15" t="s">
        <v>364</v>
      </c>
      <c r="B22" s="17" t="n">
        <v>2931</v>
      </c>
      <c r="C22" s="18">
        <f>(2576.0/B22*100)</f>
        <v/>
      </c>
      <c r="D22" s="19" t="n">
        <v>355</v>
      </c>
      <c r="E22" s="18" t="n">
        <v>34.39298337</v>
      </c>
      <c r="F22" s="20" t="n">
        <v>3.37240948</v>
      </c>
      <c r="G22" s="18" t="n">
        <v>63.51430743</v>
      </c>
      <c r="H22" s="20" t="n">
        <v>3.36660563</v>
      </c>
      <c r="I22" s="18" t="s">
        <v>349</v>
      </c>
      <c r="J22" s="20" t="s">
        <v>349</v>
      </c>
      <c r="K22" s="18" t="n">
        <v>0.75383668</v>
      </c>
      <c r="L22" s="20" t="n">
        <v>0.58183223</v>
      </c>
      <c r="M22" s="18" t="n">
        <v>0</v>
      </c>
      <c r="N22" s="20" t="n">
        <v>0</v>
      </c>
      <c r="O22" s="18" t="n">
        <v>0</v>
      </c>
      <c r="P22" s="20" t="n">
        <v>0</v>
      </c>
      <c r="Q22" s="18" t="n">
        <v>1.33887252</v>
      </c>
      <c r="R22" s="20" t="n">
        <v>1.17675568</v>
      </c>
    </row>
    <row r="23" spans="1:18">
      <c r="A23" s="15" t="s">
        <v>365</v>
      </c>
      <c r="B23" s="17" t="n">
        <v>5791</v>
      </c>
      <c r="C23" s="18">
        <f>(5070.0/B23*100)</f>
        <v/>
      </c>
      <c r="D23" s="19" t="n">
        <v>721</v>
      </c>
      <c r="E23" s="18" t="n">
        <v>35.6354212</v>
      </c>
      <c r="F23" s="20" t="n">
        <v>2.46800155</v>
      </c>
      <c r="G23" s="18" t="n">
        <v>64.3645788</v>
      </c>
      <c r="H23" s="20" t="n">
        <v>2.46800155</v>
      </c>
      <c r="I23" s="18" t="s">
        <v>349</v>
      </c>
      <c r="J23" s="20" t="s">
        <v>349</v>
      </c>
      <c r="K23" s="18" t="n">
        <v>0</v>
      </c>
      <c r="L23" s="20" t="n">
        <v>0</v>
      </c>
      <c r="M23" s="18" t="n">
        <v>0</v>
      </c>
      <c r="N23" s="20" t="n">
        <v>0</v>
      </c>
      <c r="O23" s="18" t="n">
        <v>0</v>
      </c>
      <c r="P23" s="20" t="n">
        <v>0</v>
      </c>
      <c r="Q23" s="18" t="n">
        <v>0</v>
      </c>
      <c r="R23" s="20" t="n">
        <v>0</v>
      </c>
    </row>
    <row r="24" spans="1:18">
      <c r="A24" s="15" t="s">
        <v>366</v>
      </c>
      <c r="B24" s="17" t="n">
        <v>3338</v>
      </c>
      <c r="C24" s="18">
        <f>(2921.0/B24*100)</f>
        <v/>
      </c>
      <c r="D24" s="19" t="n">
        <v>417</v>
      </c>
      <c r="E24" s="18" t="n">
        <v>31.21485301</v>
      </c>
      <c r="F24" s="20" t="n">
        <v>2.11146895</v>
      </c>
      <c r="G24" s="18" t="n">
        <v>68.13354812</v>
      </c>
      <c r="H24" s="20" t="n">
        <v>2.1334671</v>
      </c>
      <c r="I24" s="18" t="s">
        <v>349</v>
      </c>
      <c r="J24" s="20" t="s">
        <v>349</v>
      </c>
      <c r="K24" s="18" t="n">
        <v>0.17011473</v>
      </c>
      <c r="L24" s="20" t="n">
        <v>0.17093135</v>
      </c>
      <c r="M24" s="18" t="n">
        <v>0</v>
      </c>
      <c r="N24" s="20" t="n">
        <v>0</v>
      </c>
      <c r="O24" s="18" t="n">
        <v>0</v>
      </c>
      <c r="P24" s="20" t="n">
        <v>0</v>
      </c>
      <c r="Q24" s="18" t="n">
        <v>0.48148415</v>
      </c>
      <c r="R24" s="20" t="n">
        <v>0.29668421</v>
      </c>
    </row>
    <row r="25" spans="1:18">
      <c r="A25" s="15" t="s">
        <v>367</v>
      </c>
      <c r="B25" s="17" t="n">
        <v>2912</v>
      </c>
      <c r="C25" s="18">
        <f>(2574.0/B25*100)</f>
        <v/>
      </c>
      <c r="D25" s="19" t="n">
        <v>338</v>
      </c>
      <c r="E25" s="18" t="n">
        <v>22.60999811</v>
      </c>
      <c r="F25" s="20" t="n">
        <v>2.31558204</v>
      </c>
      <c r="G25" s="18" t="n">
        <v>76.52342299999999</v>
      </c>
      <c r="H25" s="20" t="n">
        <v>2.33138484</v>
      </c>
      <c r="I25" s="18" t="s">
        <v>349</v>
      </c>
      <c r="J25" s="20" t="s">
        <v>349</v>
      </c>
      <c r="K25" s="18" t="n">
        <v>0.59307864</v>
      </c>
      <c r="L25" s="20" t="n">
        <v>0.42064308</v>
      </c>
      <c r="M25" s="18" t="n">
        <v>0</v>
      </c>
      <c r="N25" s="20" t="n">
        <v>0</v>
      </c>
      <c r="O25" s="18" t="n">
        <v>0</v>
      </c>
      <c r="P25" s="20" t="n">
        <v>0</v>
      </c>
      <c r="Q25" s="18" t="n">
        <v>0.27350025</v>
      </c>
      <c r="R25" s="20" t="n">
        <v>0.27376115</v>
      </c>
    </row>
    <row r="26" spans="1:18">
      <c r="A26" s="15" t="s">
        <v>368</v>
      </c>
      <c r="B26" s="17" t="n">
        <v>2450</v>
      </c>
      <c r="C26" s="18">
        <f>(2132.0/B26*100)</f>
        <v/>
      </c>
      <c r="D26" s="19" t="n">
        <v>318</v>
      </c>
      <c r="E26" s="18" t="n">
        <v>39.02659801</v>
      </c>
      <c r="F26" s="20" t="n">
        <v>3.00308312</v>
      </c>
      <c r="G26" s="18" t="n">
        <v>60.73054671</v>
      </c>
      <c r="H26" s="20" t="n">
        <v>3.00612012</v>
      </c>
      <c r="I26" s="18" t="s">
        <v>349</v>
      </c>
      <c r="J26" s="20" t="s">
        <v>349</v>
      </c>
      <c r="K26" s="18" t="n">
        <v>0</v>
      </c>
      <c r="L26" s="20" t="n">
        <v>0</v>
      </c>
      <c r="M26" s="18" t="n">
        <v>0</v>
      </c>
      <c r="N26" s="20" t="n">
        <v>0</v>
      </c>
      <c r="O26" s="18" t="n">
        <v>0</v>
      </c>
      <c r="P26" s="20" t="n">
        <v>0</v>
      </c>
      <c r="Q26" s="18" t="n">
        <v>0.24285528</v>
      </c>
      <c r="R26" s="20" t="n">
        <v>0.24297782</v>
      </c>
    </row>
    <row r="27" spans="1:18">
      <c r="A27" s="15" t="s">
        <v>369</v>
      </c>
      <c r="B27" s="17" t="n">
        <v>2616</v>
      </c>
      <c r="C27" s="18">
        <f>(2307.0/B27*100)</f>
        <v/>
      </c>
      <c r="D27" s="19" t="n">
        <v>309</v>
      </c>
      <c r="E27" s="18" t="n">
        <v>39.93444433</v>
      </c>
      <c r="F27" s="20" t="n">
        <v>2.58206632</v>
      </c>
      <c r="G27" s="18" t="n">
        <v>59.745482</v>
      </c>
      <c r="H27" s="20" t="n">
        <v>2.59319805</v>
      </c>
      <c r="I27" s="18" t="s">
        <v>349</v>
      </c>
      <c r="J27" s="20" t="s">
        <v>349</v>
      </c>
      <c r="K27" s="18" t="n">
        <v>0.32007367</v>
      </c>
      <c r="L27" s="20" t="n">
        <v>0.31686824</v>
      </c>
      <c r="M27" s="18" t="n">
        <v>0</v>
      </c>
      <c r="N27" s="20" t="n">
        <v>0</v>
      </c>
      <c r="O27" s="18" t="n">
        <v>0</v>
      </c>
      <c r="P27" s="20" t="n">
        <v>0</v>
      </c>
      <c r="Q27" s="18" t="n">
        <v>0</v>
      </c>
      <c r="R27" s="20" t="n">
        <v>0</v>
      </c>
    </row>
    <row r="28" spans="1:18">
      <c r="A28" s="15" t="s">
        <v>370</v>
      </c>
      <c r="B28" s="17" t="n">
        <v>3765</v>
      </c>
      <c r="C28" s="18">
        <f>(3297.0/B28*100)</f>
        <v/>
      </c>
      <c r="D28" s="19" t="n">
        <v>468</v>
      </c>
      <c r="E28" s="18" t="n">
        <v>49.36087429</v>
      </c>
      <c r="F28" s="20" t="n">
        <v>2.65512146</v>
      </c>
      <c r="G28" s="18" t="n">
        <v>49.43223786</v>
      </c>
      <c r="H28" s="20" t="n">
        <v>2.61073602</v>
      </c>
      <c r="I28" s="18" t="s">
        <v>349</v>
      </c>
      <c r="J28" s="20" t="s">
        <v>349</v>
      </c>
      <c r="K28" s="18" t="n">
        <v>0.36445096</v>
      </c>
      <c r="L28" s="20" t="n">
        <v>0.36420285</v>
      </c>
      <c r="M28" s="18" t="n">
        <v>0</v>
      </c>
      <c r="N28" s="20" t="n">
        <v>0</v>
      </c>
      <c r="O28" s="18" t="n">
        <v>0</v>
      </c>
      <c r="P28" s="20" t="n">
        <v>0</v>
      </c>
      <c r="Q28" s="18" t="n">
        <v>0.84243689</v>
      </c>
      <c r="R28" s="20" t="n">
        <v>0.53095534</v>
      </c>
    </row>
    <row r="29" spans="1:18">
      <c r="A29" s="15" t="s">
        <v>371</v>
      </c>
      <c r="B29" s="17" t="n">
        <v>2685</v>
      </c>
      <c r="C29" s="18">
        <f>(2377.0/B29*100)</f>
        <v/>
      </c>
      <c r="D29" s="19" t="n">
        <v>308</v>
      </c>
      <c r="E29" s="18" t="n">
        <v>40.15434808</v>
      </c>
      <c r="F29" s="20" t="n">
        <v>3.05469674</v>
      </c>
      <c r="G29" s="18" t="n">
        <v>58.84859166</v>
      </c>
      <c r="H29" s="20" t="n">
        <v>3.07477523</v>
      </c>
      <c r="I29" s="18" t="s">
        <v>349</v>
      </c>
      <c r="J29" s="20" t="s">
        <v>349</v>
      </c>
      <c r="K29" s="18" t="n">
        <v>0</v>
      </c>
      <c r="L29" s="20" t="n">
        <v>0</v>
      </c>
      <c r="M29" s="18" t="n">
        <v>0</v>
      </c>
      <c r="N29" s="20" t="n">
        <v>0</v>
      </c>
      <c r="O29" s="18" t="n">
        <v>0</v>
      </c>
      <c r="P29" s="20" t="n">
        <v>0</v>
      </c>
      <c r="Q29" s="18" t="n">
        <v>0.99706026</v>
      </c>
      <c r="R29" s="20" t="n">
        <v>0.6764896</v>
      </c>
    </row>
    <row r="30" spans="1:18">
      <c r="A30" s="15" t="s">
        <v>372</v>
      </c>
      <c r="B30" s="17" t="n">
        <v>2263</v>
      </c>
      <c r="C30" s="18">
        <f>(1973.0/B30*100)</f>
        <v/>
      </c>
      <c r="D30" s="19" t="n">
        <v>290</v>
      </c>
      <c r="E30" s="18" t="n">
        <v>37.67446382</v>
      </c>
      <c r="F30" s="20" t="n">
        <v>2.92647348</v>
      </c>
      <c r="G30" s="18" t="n">
        <v>60.80770129</v>
      </c>
      <c r="H30" s="20" t="n">
        <v>3.04982046</v>
      </c>
      <c r="I30" s="18" t="s">
        <v>349</v>
      </c>
      <c r="J30" s="20" t="s">
        <v>349</v>
      </c>
      <c r="K30" s="18" t="n">
        <v>0.31259823</v>
      </c>
      <c r="L30" s="20" t="n">
        <v>0.3168984</v>
      </c>
      <c r="M30" s="18" t="n">
        <v>0</v>
      </c>
      <c r="N30" s="20" t="n">
        <v>0</v>
      </c>
      <c r="O30" s="18" t="n">
        <v>0</v>
      </c>
      <c r="P30" s="20" t="n">
        <v>0</v>
      </c>
      <c r="Q30" s="18" t="n">
        <v>1.20523666</v>
      </c>
      <c r="R30" s="20" t="n">
        <v>0.68222021</v>
      </c>
    </row>
    <row r="31" spans="1:18">
      <c r="A31" s="15" t="s">
        <v>373</v>
      </c>
      <c r="B31" s="17" t="n">
        <v>2750</v>
      </c>
      <c r="C31" s="18">
        <f>(2423.0/B31*100)</f>
        <v/>
      </c>
      <c r="D31" s="19" t="n">
        <v>327</v>
      </c>
      <c r="E31" s="18" t="n">
        <v>36.86426523</v>
      </c>
      <c r="F31" s="20" t="n">
        <v>3.23424468</v>
      </c>
      <c r="G31" s="18" t="n">
        <v>61.96715347</v>
      </c>
      <c r="H31" s="20" t="n">
        <v>3.11692492</v>
      </c>
      <c r="I31" s="18" t="s">
        <v>349</v>
      </c>
      <c r="J31" s="20" t="s">
        <v>349</v>
      </c>
      <c r="K31" s="18" t="n">
        <v>0.54472116</v>
      </c>
      <c r="L31" s="20" t="n">
        <v>0.37545543</v>
      </c>
      <c r="M31" s="18" t="n">
        <v>0</v>
      </c>
      <c r="N31" s="20" t="n">
        <v>0</v>
      </c>
      <c r="O31" s="18" t="n">
        <v>0</v>
      </c>
      <c r="P31" s="20" t="n">
        <v>0</v>
      </c>
      <c r="Q31" s="18" t="n">
        <v>0.62386014</v>
      </c>
      <c r="R31" s="20" t="n">
        <v>0.43147921</v>
      </c>
    </row>
    <row r="32" spans="1:18">
      <c r="A32" s="15" t="s">
        <v>374</v>
      </c>
      <c r="B32" s="17" t="n">
        <v>2269</v>
      </c>
      <c r="C32" s="18">
        <f>(1904.0/B32*100)</f>
        <v/>
      </c>
      <c r="D32" s="19" t="n">
        <v>365</v>
      </c>
      <c r="E32" s="18" t="n">
        <v>49.06313645</v>
      </c>
      <c r="F32" s="20" t="n">
        <v>2.98132881</v>
      </c>
      <c r="G32" s="18" t="n">
        <v>49.63676811</v>
      </c>
      <c r="H32" s="20" t="n">
        <v>2.92724495</v>
      </c>
      <c r="I32" s="18" t="s">
        <v>349</v>
      </c>
      <c r="J32" s="20" t="s">
        <v>349</v>
      </c>
      <c r="K32" s="18" t="n">
        <v>0</v>
      </c>
      <c r="L32" s="20" t="n">
        <v>0</v>
      </c>
      <c r="M32" s="18" t="n">
        <v>0</v>
      </c>
      <c r="N32" s="20" t="n">
        <v>0</v>
      </c>
      <c r="O32" s="18" t="n">
        <v>0</v>
      </c>
      <c r="P32" s="20" t="n">
        <v>0</v>
      </c>
      <c r="Q32" s="18" t="n">
        <v>1.30009544</v>
      </c>
      <c r="R32" s="20" t="n">
        <v>0.66392187</v>
      </c>
    </row>
    <row r="33" spans="1:18">
      <c r="A33" s="15" t="s">
        <v>375</v>
      </c>
      <c r="B33" s="17" t="n">
        <v>3674</v>
      </c>
      <c r="C33" s="18">
        <f>(3230.0/B33*100)</f>
        <v/>
      </c>
      <c r="D33" s="19" t="n">
        <v>444</v>
      </c>
      <c r="E33" s="18" t="n">
        <v>26.21496313</v>
      </c>
      <c r="F33" s="20" t="n">
        <v>2.38877495</v>
      </c>
      <c r="G33" s="18" t="n">
        <v>72.09511012</v>
      </c>
      <c r="H33" s="20" t="n">
        <v>2.50502806</v>
      </c>
      <c r="I33" s="18" t="s">
        <v>349</v>
      </c>
      <c r="J33" s="20" t="s">
        <v>349</v>
      </c>
      <c r="K33" s="18" t="n">
        <v>1.68992675</v>
      </c>
      <c r="L33" s="20" t="n">
        <v>1.25648077</v>
      </c>
      <c r="M33" s="18" t="n">
        <v>0</v>
      </c>
      <c r="N33" s="20" t="n">
        <v>0</v>
      </c>
      <c r="O33" s="18" t="n">
        <v>0</v>
      </c>
      <c r="P33" s="20" t="n">
        <v>0</v>
      </c>
      <c r="Q33" s="18" t="n">
        <v>0</v>
      </c>
      <c r="R33" s="20" t="n">
        <v>0</v>
      </c>
    </row>
    <row r="34" spans="1:18">
      <c r="A34" s="15" t="s">
        <v>376</v>
      </c>
      <c r="B34" s="17" t="n">
        <v>3315</v>
      </c>
      <c r="C34" s="18">
        <f>(2905.0/B34*100)</f>
        <v/>
      </c>
      <c r="D34" s="19" t="n">
        <v>410</v>
      </c>
      <c r="E34" s="18" t="n">
        <v>46.30897401</v>
      </c>
      <c r="F34" s="20" t="n">
        <v>2.64640262</v>
      </c>
      <c r="G34" s="18" t="n">
        <v>52.44928868</v>
      </c>
      <c r="H34" s="20" t="n">
        <v>2.50157563</v>
      </c>
      <c r="I34" s="18" t="s">
        <v>349</v>
      </c>
      <c r="J34" s="20" t="s">
        <v>349</v>
      </c>
      <c r="K34" s="18" t="n">
        <v>0</v>
      </c>
      <c r="L34" s="20" t="n">
        <v>0</v>
      </c>
      <c r="M34" s="18" t="n">
        <v>0</v>
      </c>
      <c r="N34" s="20" t="n">
        <v>0</v>
      </c>
      <c r="O34" s="18" t="n">
        <v>0</v>
      </c>
      <c r="P34" s="20" t="n">
        <v>0</v>
      </c>
      <c r="Q34" s="18" t="n">
        <v>1.24173731</v>
      </c>
      <c r="R34" s="20" t="n">
        <v>0.64581593</v>
      </c>
    </row>
    <row r="35" spans="1:18">
      <c r="A35" s="15" t="s">
        <v>377</v>
      </c>
      <c r="B35" s="17" t="n">
        <v>3505</v>
      </c>
      <c r="C35" s="18">
        <f>(3097.0/B35*100)</f>
        <v/>
      </c>
      <c r="D35" s="19" t="n">
        <v>408</v>
      </c>
      <c r="E35" s="18" t="n">
        <v>34.61297439</v>
      </c>
      <c r="F35" s="20" t="n">
        <v>2.66964539</v>
      </c>
      <c r="G35" s="18" t="n">
        <v>64.62545106</v>
      </c>
      <c r="H35" s="20" t="n">
        <v>2.63502848</v>
      </c>
      <c r="I35" s="18" t="s">
        <v>349</v>
      </c>
      <c r="J35" s="20" t="s">
        <v>349</v>
      </c>
      <c r="K35" s="18" t="n">
        <v>0</v>
      </c>
      <c r="L35" s="20" t="n">
        <v>0</v>
      </c>
      <c r="M35" s="18" t="n">
        <v>0</v>
      </c>
      <c r="N35" s="20" t="n">
        <v>0</v>
      </c>
      <c r="O35" s="18" t="n">
        <v>0</v>
      </c>
      <c r="P35" s="20" t="n">
        <v>0</v>
      </c>
      <c r="Q35" s="18" t="n">
        <v>0.76157455</v>
      </c>
      <c r="R35" s="20" t="n">
        <v>0.52581153</v>
      </c>
    </row>
    <row r="36" spans="1:18">
      <c r="A36" s="15" t="s">
        <v>378</v>
      </c>
      <c r="B36" s="17" t="n">
        <v>3332</v>
      </c>
      <c r="C36" s="18">
        <f>(2932.0/B36*100)</f>
        <v/>
      </c>
      <c r="D36" s="19" t="n">
        <v>400</v>
      </c>
      <c r="E36" s="18" t="n">
        <v>29.88245871</v>
      </c>
      <c r="F36" s="20" t="n">
        <v>2.03008532</v>
      </c>
      <c r="G36" s="18" t="n">
        <v>69.07572571</v>
      </c>
      <c r="H36" s="20" t="n">
        <v>2.02315725</v>
      </c>
      <c r="I36" s="18" t="s">
        <v>349</v>
      </c>
      <c r="J36" s="20" t="s">
        <v>349</v>
      </c>
      <c r="K36" s="18" t="n">
        <v>0.2603677</v>
      </c>
      <c r="L36" s="20" t="n">
        <v>0.26630204</v>
      </c>
      <c r="M36" s="18" t="n">
        <v>0</v>
      </c>
      <c r="N36" s="20" t="n">
        <v>0</v>
      </c>
      <c r="O36" s="18" t="n">
        <v>0</v>
      </c>
      <c r="P36" s="20" t="n">
        <v>0</v>
      </c>
      <c r="Q36" s="18" t="n">
        <v>0.78144788</v>
      </c>
      <c r="R36" s="20" t="n">
        <v>0.41044316</v>
      </c>
    </row>
    <row r="37" spans="1:18">
      <c r="A37" s="15" t="s">
        <v>379</v>
      </c>
      <c r="B37" s="17" t="n">
        <v>2727</v>
      </c>
      <c r="C37" s="18">
        <f>(2392.0/B37*100)</f>
        <v/>
      </c>
      <c r="D37" s="19" t="n">
        <v>335</v>
      </c>
      <c r="E37" s="18" t="n">
        <v>29.24638889</v>
      </c>
      <c r="F37" s="20" t="n">
        <v>2.14276018</v>
      </c>
      <c r="G37" s="18" t="n">
        <v>67.44172578</v>
      </c>
      <c r="H37" s="20" t="n">
        <v>2.392548</v>
      </c>
      <c r="I37" s="18" t="s">
        <v>349</v>
      </c>
      <c r="J37" s="20" t="s">
        <v>349</v>
      </c>
      <c r="K37" s="18" t="n">
        <v>0.56498426</v>
      </c>
      <c r="L37" s="20" t="n">
        <v>0.39824366</v>
      </c>
      <c r="M37" s="18" t="n">
        <v>0</v>
      </c>
      <c r="N37" s="20" t="n">
        <v>0</v>
      </c>
      <c r="O37" s="18" t="n">
        <v>0</v>
      </c>
      <c r="P37" s="20" t="n">
        <v>0</v>
      </c>
      <c r="Q37" s="18" t="n">
        <v>2.74690107</v>
      </c>
      <c r="R37" s="20" t="n">
        <v>1.06262179</v>
      </c>
    </row>
    <row r="38" spans="1:18">
      <c r="A38" s="15" t="s">
        <v>380</v>
      </c>
      <c r="B38" s="17" t="n">
        <v>3053</v>
      </c>
      <c r="C38" s="18">
        <f>(2550.0/B38*100)</f>
        <v/>
      </c>
      <c r="D38" s="19" t="n">
        <v>503</v>
      </c>
      <c r="E38" s="18" t="n">
        <v>34.8456157</v>
      </c>
      <c r="F38" s="20" t="n">
        <v>2.24667955</v>
      </c>
      <c r="G38" s="18" t="n">
        <v>63.96790061</v>
      </c>
      <c r="H38" s="20" t="n">
        <v>2.31425257</v>
      </c>
      <c r="I38" s="18" t="s">
        <v>349</v>
      </c>
      <c r="J38" s="20" t="s">
        <v>349</v>
      </c>
      <c r="K38" s="18" t="n">
        <v>0.59335837</v>
      </c>
      <c r="L38" s="20" t="n">
        <v>0.3419086</v>
      </c>
      <c r="M38" s="18" t="n">
        <v>0</v>
      </c>
      <c r="N38" s="20" t="n">
        <v>0</v>
      </c>
      <c r="O38" s="18" t="n">
        <v>0</v>
      </c>
      <c r="P38" s="20" t="n">
        <v>0</v>
      </c>
      <c r="Q38" s="18" t="n">
        <v>0.59312532</v>
      </c>
      <c r="R38" s="20" t="n">
        <v>0.32013354</v>
      </c>
    </row>
    <row r="39" spans="1:18">
      <c r="A39" s="15" t="s">
        <v>381</v>
      </c>
      <c r="B39" s="17" t="n">
        <v>2957</v>
      </c>
      <c r="C39" s="18">
        <f>(2598.0/B39*100)</f>
        <v/>
      </c>
      <c r="D39" s="19" t="n">
        <v>359</v>
      </c>
      <c r="E39" s="18" t="n">
        <v>47.11704254</v>
      </c>
      <c r="F39" s="20" t="n">
        <v>2.76697605</v>
      </c>
      <c r="G39" s="18" t="n">
        <v>51.97204791</v>
      </c>
      <c r="H39" s="20" t="n">
        <v>2.75418633</v>
      </c>
      <c r="I39" s="18" t="s">
        <v>349</v>
      </c>
      <c r="J39" s="20" t="s">
        <v>349</v>
      </c>
      <c r="K39" s="18" t="n">
        <v>0.50563959</v>
      </c>
      <c r="L39" s="20" t="n">
        <v>0.30241033</v>
      </c>
      <c r="M39" s="18" t="n">
        <v>0</v>
      </c>
      <c r="N39" s="20" t="n">
        <v>0</v>
      </c>
      <c r="O39" s="18" t="n">
        <v>0</v>
      </c>
      <c r="P39" s="20" t="n">
        <v>0</v>
      </c>
      <c r="Q39" s="18" t="n">
        <v>0.40526996</v>
      </c>
      <c r="R39" s="20" t="n">
        <v>0.29562003</v>
      </c>
    </row>
    <row r="40" spans="1:18">
      <c r="A40" s="15" t="s">
        <v>382</v>
      </c>
      <c r="B40" s="17" t="n">
        <v>7235</v>
      </c>
      <c r="C40" s="18">
        <f>(6329.0/B40*100)</f>
        <v/>
      </c>
      <c r="D40" s="19" t="n">
        <v>906</v>
      </c>
      <c r="E40" s="18" t="n">
        <v>35.95594839</v>
      </c>
      <c r="F40" s="20" t="n">
        <v>2.45750196</v>
      </c>
      <c r="G40" s="18" t="n">
        <v>62.72535721</v>
      </c>
      <c r="H40" s="20" t="n">
        <v>2.58085295</v>
      </c>
      <c r="I40" s="18" t="s">
        <v>349</v>
      </c>
      <c r="J40" s="20" t="s">
        <v>349</v>
      </c>
      <c r="K40" s="18" t="n">
        <v>0.57540544</v>
      </c>
      <c r="L40" s="20" t="n">
        <v>0.33389516</v>
      </c>
      <c r="M40" s="18" t="n">
        <v>0</v>
      </c>
      <c r="N40" s="20" t="n">
        <v>0</v>
      </c>
      <c r="O40" s="18" t="n">
        <v>0</v>
      </c>
      <c r="P40" s="20" t="n">
        <v>0</v>
      </c>
      <c r="Q40" s="18" t="n">
        <v>0.74328896</v>
      </c>
      <c r="R40" s="20" t="n">
        <v>0.42750286</v>
      </c>
    </row>
    <row r="41" spans="1:18">
      <c r="A41" s="15" t="s">
        <v>383</v>
      </c>
      <c r="B41" s="17" t="n">
        <v>2858</v>
      </c>
      <c r="C41" s="18">
        <f>(2480.0/B41*100)</f>
        <v/>
      </c>
      <c r="D41" s="19" t="n">
        <v>378</v>
      </c>
      <c r="E41" s="18" t="n">
        <v>44.57685112</v>
      </c>
      <c r="F41" s="20" t="n">
        <v>2.90412676</v>
      </c>
      <c r="G41" s="18" t="n">
        <v>53.83102956</v>
      </c>
      <c r="H41" s="20" t="n">
        <v>2.58081588</v>
      </c>
      <c r="I41" s="18" t="s">
        <v>349</v>
      </c>
      <c r="J41" s="20" t="s">
        <v>349</v>
      </c>
      <c r="K41" s="18" t="n">
        <v>0.20191936</v>
      </c>
      <c r="L41" s="20" t="n">
        <v>0.21022645</v>
      </c>
      <c r="M41" s="18" t="n">
        <v>0</v>
      </c>
      <c r="N41" s="20" t="n">
        <v>0</v>
      </c>
      <c r="O41" s="18" t="n">
        <v>0</v>
      </c>
      <c r="P41" s="20" t="n">
        <v>0</v>
      </c>
      <c r="Q41" s="18" t="n">
        <v>1.39019996</v>
      </c>
      <c r="R41" s="20" t="n">
        <v>0.94648955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(9860.0/B46*100)</f>
        <v/>
      </c>
      <c r="D46" s="19" t="n">
        <v>1208</v>
      </c>
      <c r="E46" s="18" t="n">
        <v>53.08075749</v>
      </c>
      <c r="F46" s="20" t="n">
        <v>1.73469146</v>
      </c>
      <c r="G46" s="18" t="n">
        <v>44.71891838</v>
      </c>
      <c r="H46" s="20" t="n">
        <v>1.86801034</v>
      </c>
      <c r="I46" s="18" t="s">
        <v>349</v>
      </c>
      <c r="J46" s="20" t="s">
        <v>349</v>
      </c>
      <c r="K46" s="18" t="n">
        <v>0.99673287</v>
      </c>
      <c r="L46" s="20" t="n">
        <v>0.45068653</v>
      </c>
      <c r="M46" s="18" t="n">
        <v>0</v>
      </c>
      <c r="N46" s="20" t="n">
        <v>0</v>
      </c>
      <c r="O46" s="18" t="n">
        <v>0</v>
      </c>
      <c r="P46" s="20" t="n">
        <v>0</v>
      </c>
      <c r="Q46" s="18" t="n">
        <v>1.20359126</v>
      </c>
      <c r="R46" s="20" t="n">
        <v>0.27518477</v>
      </c>
    </row>
    <row r="47" spans="1:18">
      <c r="A47" s="15" t="s">
        <v>389</v>
      </c>
      <c r="B47" s="17" t="n">
        <v>3105</v>
      </c>
      <c r="C47" s="18">
        <f>(2711.0/B47*100)</f>
        <v/>
      </c>
      <c r="D47" s="19" t="n">
        <v>394</v>
      </c>
      <c r="E47" s="18" t="n">
        <v>42.48680096</v>
      </c>
      <c r="F47" s="20" t="n">
        <v>2.48382708</v>
      </c>
      <c r="G47" s="18" t="n">
        <v>55.74481033</v>
      </c>
      <c r="H47" s="20" t="n">
        <v>2.53702013</v>
      </c>
      <c r="I47" s="18" t="s">
        <v>349</v>
      </c>
      <c r="J47" s="20" t="s">
        <v>349</v>
      </c>
      <c r="K47" s="18" t="n">
        <v>0.5015864</v>
      </c>
      <c r="L47" s="20" t="n">
        <v>0.34053734</v>
      </c>
      <c r="M47" s="18" t="n">
        <v>0</v>
      </c>
      <c r="N47" s="20" t="n">
        <v>0</v>
      </c>
      <c r="O47" s="18" t="n">
        <v>0</v>
      </c>
      <c r="P47" s="20" t="n">
        <v>0</v>
      </c>
      <c r="Q47" s="18" t="n">
        <v>1.26680231</v>
      </c>
      <c r="R47" s="20" t="n">
        <v>0.7151616200000001</v>
      </c>
    </row>
    <row r="48" spans="1:18">
      <c r="A48" s="15" t="s">
        <v>390</v>
      </c>
      <c r="B48" s="17" t="n">
        <v>5159</v>
      </c>
      <c r="C48" s="18">
        <f>(4539.0/B48*100)</f>
        <v/>
      </c>
      <c r="D48" s="19" t="n">
        <v>620</v>
      </c>
      <c r="E48" s="18" t="n">
        <v>18.49140312</v>
      </c>
      <c r="F48" s="20" t="n">
        <v>1.93228497</v>
      </c>
      <c r="G48" s="18" t="n">
        <v>80.71275239000001</v>
      </c>
      <c r="H48" s="20" t="n">
        <v>1.90482672</v>
      </c>
      <c r="I48" s="18" t="s">
        <v>349</v>
      </c>
      <c r="J48" s="20" t="s">
        <v>349</v>
      </c>
      <c r="K48" s="18" t="n">
        <v>0.7945964599999999</v>
      </c>
      <c r="L48" s="20" t="n">
        <v>0.47553337</v>
      </c>
      <c r="M48" s="18" t="n">
        <v>0</v>
      </c>
      <c r="N48" s="20" t="n">
        <v>0</v>
      </c>
      <c r="O48" s="18" t="n">
        <v>0</v>
      </c>
      <c r="P48" s="20" t="n">
        <v>0</v>
      </c>
      <c r="Q48" s="18" t="n">
        <v>0.00124803</v>
      </c>
      <c r="R48" s="20" t="n">
        <v>0.0012559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(4959.0/B50*100)</f>
        <v/>
      </c>
      <c r="D50" s="19" t="n">
        <v>678</v>
      </c>
      <c r="E50" s="18" t="n">
        <v>48.29107449</v>
      </c>
      <c r="F50" s="20" t="n">
        <v>2.97264321</v>
      </c>
      <c r="G50" s="18" t="n">
        <v>50.29362316</v>
      </c>
      <c r="H50" s="20" t="n">
        <v>3.02416952</v>
      </c>
      <c r="I50" s="18" t="s">
        <v>349</v>
      </c>
      <c r="J50" s="20" t="s">
        <v>349</v>
      </c>
      <c r="K50" s="18" t="n">
        <v>0.99501477</v>
      </c>
      <c r="L50" s="20" t="n">
        <v>0.44691483</v>
      </c>
      <c r="M50" s="18" t="n">
        <v>0</v>
      </c>
      <c r="N50" s="20" t="n">
        <v>0</v>
      </c>
      <c r="O50" s="18" t="n">
        <v>0</v>
      </c>
      <c r="P50" s="20" t="n">
        <v>0</v>
      </c>
      <c r="Q50" s="18" t="n">
        <v>0.42028758</v>
      </c>
      <c r="R50" s="20" t="n">
        <v>0.39700278</v>
      </c>
    </row>
    <row r="51" spans="1:18">
      <c r="A51" s="15" t="s">
        <v>393</v>
      </c>
      <c r="B51" s="17" t="n">
        <v>3372</v>
      </c>
      <c r="C51" s="18">
        <f>(3001.0/B51*100)</f>
        <v/>
      </c>
      <c r="D51" s="19" t="n">
        <v>371</v>
      </c>
      <c r="E51" s="18" t="n">
        <v>47.30446468</v>
      </c>
      <c r="F51" s="20" t="n">
        <v>2.71678356</v>
      </c>
      <c r="G51" s="18" t="n">
        <v>50.98234119</v>
      </c>
      <c r="H51" s="20" t="n">
        <v>2.70217343</v>
      </c>
      <c r="I51" s="18" t="s">
        <v>349</v>
      </c>
      <c r="J51" s="20" t="s">
        <v>349</v>
      </c>
      <c r="K51" s="18" t="n">
        <v>1.1558932</v>
      </c>
      <c r="L51" s="20" t="n">
        <v>0.69420213</v>
      </c>
      <c r="M51" s="18" t="n">
        <v>0</v>
      </c>
      <c r="N51" s="20" t="n">
        <v>0</v>
      </c>
      <c r="O51" s="18" t="n">
        <v>0</v>
      </c>
      <c r="P51" s="20" t="n">
        <v>0</v>
      </c>
      <c r="Q51" s="18" t="n">
        <v>0.55730093</v>
      </c>
      <c r="R51" s="20" t="n">
        <v>0.39389653</v>
      </c>
    </row>
    <row r="52" spans="1:18">
      <c r="A52" s="15" t="s">
        <v>394</v>
      </c>
      <c r="B52" s="17" t="n">
        <v>2796</v>
      </c>
      <c r="C52" s="18">
        <f>(2431.0/B52*100)</f>
        <v/>
      </c>
      <c r="D52" s="19" t="n">
        <v>365</v>
      </c>
      <c r="E52" s="18" t="n">
        <v>42.11715943</v>
      </c>
      <c r="F52" s="20" t="n">
        <v>2.88891064</v>
      </c>
      <c r="G52" s="18" t="n">
        <v>56.05289349</v>
      </c>
      <c r="H52" s="20" t="n">
        <v>2.91889928</v>
      </c>
      <c r="I52" s="18" t="s">
        <v>349</v>
      </c>
      <c r="J52" s="20" t="s">
        <v>349</v>
      </c>
      <c r="K52" s="18" t="n">
        <v>0.56860767</v>
      </c>
      <c r="L52" s="20" t="n">
        <v>0.44273703</v>
      </c>
      <c r="M52" s="18" t="n">
        <v>0</v>
      </c>
      <c r="N52" s="20" t="n">
        <v>0</v>
      </c>
      <c r="O52" s="18" t="n">
        <v>0</v>
      </c>
      <c r="P52" s="20" t="n">
        <v>0</v>
      </c>
      <c r="Q52" s="18" t="n">
        <v>1.26133941</v>
      </c>
      <c r="R52" s="20" t="n">
        <v>0.55386426</v>
      </c>
    </row>
    <row r="53" spans="1:18">
      <c r="A53" s="15" t="s">
        <v>395</v>
      </c>
      <c r="B53" s="17" t="n">
        <v>2811</v>
      </c>
      <c r="C53" s="18">
        <f>(2457.0/B53*100)</f>
        <v/>
      </c>
      <c r="D53" s="19" t="n">
        <v>354</v>
      </c>
      <c r="E53" s="18" t="n">
        <v>50.60634241</v>
      </c>
      <c r="F53" s="20" t="n">
        <v>2.47882542</v>
      </c>
      <c r="G53" s="18" t="n">
        <v>47.55294805</v>
      </c>
      <c r="H53" s="20" t="n">
        <v>2.41519629</v>
      </c>
      <c r="I53" s="18" t="s">
        <v>349</v>
      </c>
      <c r="J53" s="20" t="s">
        <v>349</v>
      </c>
      <c r="K53" s="18" t="n">
        <v>0.19073775</v>
      </c>
      <c r="L53" s="20" t="n">
        <v>0.19064953</v>
      </c>
      <c r="M53" s="18" t="n">
        <v>0</v>
      </c>
      <c r="N53" s="20" t="n">
        <v>0</v>
      </c>
      <c r="O53" s="18" t="n">
        <v>0</v>
      </c>
      <c r="P53" s="20" t="n">
        <v>0</v>
      </c>
      <c r="Q53" s="18" t="n">
        <v>1.64997179</v>
      </c>
      <c r="R53" s="20" t="n">
        <v>0.66581253</v>
      </c>
    </row>
    <row r="54" spans="1:18">
      <c r="A54" s="15" t="s">
        <v>396</v>
      </c>
      <c r="B54" s="17" t="n">
        <v>2266</v>
      </c>
      <c r="C54" s="18">
        <f>(1908.0/B54*100)</f>
        <v/>
      </c>
      <c r="D54" s="19" t="n">
        <v>358</v>
      </c>
      <c r="E54" s="18" t="n">
        <v>53.72812646</v>
      </c>
      <c r="F54" s="20" t="n">
        <v>2.71983367</v>
      </c>
      <c r="G54" s="18" t="n">
        <v>35.75554953</v>
      </c>
      <c r="H54" s="20" t="n">
        <v>2.73972568</v>
      </c>
      <c r="I54" s="18" t="s">
        <v>349</v>
      </c>
      <c r="J54" s="20" t="s">
        <v>349</v>
      </c>
      <c r="K54" s="18" t="n">
        <v>8.5316014</v>
      </c>
      <c r="L54" s="20" t="n">
        <v>1.73001654</v>
      </c>
      <c r="M54" s="18" t="n">
        <v>0</v>
      </c>
      <c r="N54" s="20" t="n">
        <v>0</v>
      </c>
      <c r="O54" s="18" t="n">
        <v>0</v>
      </c>
      <c r="P54" s="20" t="n">
        <v>0</v>
      </c>
      <c r="Q54" s="18" t="n">
        <v>1.9847226</v>
      </c>
      <c r="R54" s="20" t="n">
        <v>1.41862145</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(2355.0/B56*100)</f>
        <v/>
      </c>
      <c r="D56" s="19" t="n">
        <v>329</v>
      </c>
      <c r="E56" s="18" t="n">
        <v>20.37372624</v>
      </c>
      <c r="F56" s="20" t="n">
        <v>2.21390496</v>
      </c>
      <c r="G56" s="18" t="n">
        <v>79.3788771</v>
      </c>
      <c r="H56" s="20" t="n">
        <v>2.23017752</v>
      </c>
      <c r="I56" s="18" t="s">
        <v>349</v>
      </c>
      <c r="J56" s="20" t="s">
        <v>349</v>
      </c>
      <c r="K56" s="18" t="n">
        <v>0.24739666</v>
      </c>
      <c r="L56" s="20" t="n">
        <v>0.25229274</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(2926.0/B61*100)</f>
        <v/>
      </c>
      <c r="D61" s="19" t="n">
        <v>398</v>
      </c>
      <c r="E61" s="18" t="n">
        <v>47.11717754</v>
      </c>
      <c r="F61" s="20" t="n">
        <v>2.63571986</v>
      </c>
      <c r="G61" s="18" t="n">
        <v>52.19455939</v>
      </c>
      <c r="H61" s="20" t="n">
        <v>2.57629556</v>
      </c>
      <c r="I61" s="18" t="s">
        <v>349</v>
      </c>
      <c r="J61" s="20" t="s">
        <v>349</v>
      </c>
      <c r="K61" s="18" t="n">
        <v>0</v>
      </c>
      <c r="L61" s="20" t="n">
        <v>0</v>
      </c>
      <c r="M61" s="18" t="n">
        <v>0</v>
      </c>
      <c r="N61" s="20" t="n">
        <v>0</v>
      </c>
      <c r="O61" s="18" t="n">
        <v>0</v>
      </c>
      <c r="P61" s="20" t="n">
        <v>0</v>
      </c>
      <c r="Q61" s="18" t="n">
        <v>0.68826307</v>
      </c>
      <c r="R61" s="20" t="n">
        <v>0.41469728</v>
      </c>
    </row>
    <row r="62" spans="1:18">
      <c r="A62" s="15" t="s">
        <v>404</v>
      </c>
      <c r="B62" s="17" t="n">
        <v>2246</v>
      </c>
      <c r="C62" s="18">
        <f>(1966.0/B62*100)</f>
        <v/>
      </c>
      <c r="D62" s="19" t="n">
        <v>280</v>
      </c>
      <c r="E62" s="18" t="n">
        <v>18.26150772</v>
      </c>
      <c r="F62" s="20" t="n">
        <v>2.71656395</v>
      </c>
      <c r="G62" s="18" t="n">
        <v>81.73849228</v>
      </c>
      <c r="H62" s="20" t="n">
        <v>2.71656395</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(2543.0/B66*100)</f>
        <v/>
      </c>
      <c r="D66" s="19" t="n">
        <v>351</v>
      </c>
      <c r="E66" s="18" t="n">
        <v>52.00181706</v>
      </c>
      <c r="F66" s="20" t="n">
        <v>2.85074501</v>
      </c>
      <c r="G66" s="18" t="n">
        <v>44.30303879</v>
      </c>
      <c r="H66" s="20" t="n">
        <v>2.71520208</v>
      </c>
      <c r="I66" s="18" t="s">
        <v>349</v>
      </c>
      <c r="J66" s="20" t="s">
        <v>349</v>
      </c>
      <c r="K66" s="18" t="n">
        <v>0.54188063</v>
      </c>
      <c r="L66" s="20" t="n">
        <v>0.38439047</v>
      </c>
      <c r="M66" s="18" t="n">
        <v>0</v>
      </c>
      <c r="N66" s="20" t="n">
        <v>0</v>
      </c>
      <c r="O66" s="18" t="n">
        <v>0</v>
      </c>
      <c r="P66" s="20" t="n">
        <v>0</v>
      </c>
      <c r="Q66" s="18" t="n">
        <v>3.15326353</v>
      </c>
      <c r="R66" s="20" t="n">
        <v>0.98742366</v>
      </c>
    </row>
    <row r="67" spans="1:18">
      <c r="A67" s="15" t="s">
        <v>409</v>
      </c>
      <c r="B67" s="17" t="n">
        <v>3511</v>
      </c>
      <c r="C67" s="18">
        <f>(3088.0/B67*100)</f>
        <v/>
      </c>
      <c r="D67" s="19" t="n">
        <v>423</v>
      </c>
      <c r="E67" s="18" t="n">
        <v>54.4333525</v>
      </c>
      <c r="F67" s="20" t="n">
        <v>2.39080711</v>
      </c>
      <c r="G67" s="18" t="n">
        <v>44.92539382</v>
      </c>
      <c r="H67" s="20" t="n">
        <v>2.4229071</v>
      </c>
      <c r="I67" s="18" t="s">
        <v>349</v>
      </c>
      <c r="J67" s="20" t="s">
        <v>349</v>
      </c>
      <c r="K67" s="18" t="n">
        <v>0.18669717</v>
      </c>
      <c r="L67" s="20" t="n">
        <v>0.19207776</v>
      </c>
      <c r="M67" s="18" t="n">
        <v>0</v>
      </c>
      <c r="N67" s="20" t="n">
        <v>0</v>
      </c>
      <c r="O67" s="18" t="n">
        <v>0</v>
      </c>
      <c r="P67" s="20" t="n">
        <v>0</v>
      </c>
      <c r="Q67" s="18" t="n">
        <v>0.45455651</v>
      </c>
      <c r="R67" s="20" t="n">
        <v>0.3231591</v>
      </c>
    </row>
    <row r="68" spans="1:18">
      <c r="A68" s="15" t="s">
        <v>410</v>
      </c>
      <c r="B68" s="17" t="n">
        <v>6049</v>
      </c>
      <c r="C68" s="18">
        <f>(5057.0/B68*100)</f>
        <v/>
      </c>
      <c r="D68" s="19" t="n">
        <v>992</v>
      </c>
      <c r="E68" s="18" t="n">
        <v>51.78280523</v>
      </c>
      <c r="F68" s="20" t="n">
        <v>1.55676902</v>
      </c>
      <c r="G68" s="18" t="n">
        <v>43.87405532</v>
      </c>
      <c r="H68" s="20" t="n">
        <v>1.61030271</v>
      </c>
      <c r="I68" s="18" t="s">
        <v>349</v>
      </c>
      <c r="J68" s="20" t="s">
        <v>349</v>
      </c>
      <c r="K68" s="18" t="n">
        <v>2.56590041</v>
      </c>
      <c r="L68" s="20" t="n">
        <v>0.48400922</v>
      </c>
      <c r="M68" s="18" t="n">
        <v>0</v>
      </c>
      <c r="N68" s="20" t="n">
        <v>0</v>
      </c>
      <c r="O68" s="18" t="n">
        <v>0</v>
      </c>
      <c r="P68" s="20" t="n">
        <v>0</v>
      </c>
      <c r="Q68" s="18" t="n">
        <v>1.77723903</v>
      </c>
      <c r="R68" s="20" t="n">
        <v>0.44264472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(2548.0/B70*100)</f>
        <v/>
      </c>
      <c r="D70" s="19" t="n">
        <v>381</v>
      </c>
      <c r="E70" s="18" t="n">
        <v>35.28490879</v>
      </c>
      <c r="F70" s="20" t="n">
        <v>2.77611607</v>
      </c>
      <c r="G70" s="18" t="n">
        <v>63.80981056</v>
      </c>
      <c r="H70" s="20" t="n">
        <v>2.71281529</v>
      </c>
      <c r="I70" s="18" t="s">
        <v>349</v>
      </c>
      <c r="J70" s="20" t="s">
        <v>349</v>
      </c>
      <c r="K70" s="18" t="n">
        <v>0.17025384</v>
      </c>
      <c r="L70" s="20" t="n">
        <v>0.17281579</v>
      </c>
      <c r="M70" s="18" t="n">
        <v>0</v>
      </c>
      <c r="N70" s="20" t="n">
        <v>0</v>
      </c>
      <c r="O70" s="18" t="n">
        <v>0</v>
      </c>
      <c r="P70" s="20" t="n">
        <v>0</v>
      </c>
      <c r="Q70" s="18" t="n">
        <v>0.7350268</v>
      </c>
      <c r="R70" s="20" t="n">
        <v>0.30288443</v>
      </c>
    </row>
    <row r="71" spans="1:18">
      <c r="A71" s="15" t="s">
        <v>413</v>
      </c>
      <c r="B71" s="17" t="n">
        <v>3142</v>
      </c>
      <c r="C71" s="18">
        <f>(2744.0/B71*100)</f>
        <v/>
      </c>
      <c r="D71" s="19" t="n">
        <v>398</v>
      </c>
      <c r="E71" s="18" t="n">
        <v>25.94148712</v>
      </c>
      <c r="F71" s="20" t="n">
        <v>1.97380974</v>
      </c>
      <c r="G71" s="18" t="n">
        <v>73.58752421</v>
      </c>
      <c r="H71" s="20" t="n">
        <v>1.95262927</v>
      </c>
      <c r="I71" s="18" t="s">
        <v>349</v>
      </c>
      <c r="J71" s="20" t="s">
        <v>349</v>
      </c>
      <c r="K71" s="18" t="n">
        <v>0.29650894</v>
      </c>
      <c r="L71" s="20" t="n">
        <v>0.29606956</v>
      </c>
      <c r="M71" s="18" t="n">
        <v>0</v>
      </c>
      <c r="N71" s="20" t="n">
        <v>0</v>
      </c>
      <c r="O71" s="18" t="n">
        <v>0</v>
      </c>
      <c r="P71" s="20" t="n">
        <v>0</v>
      </c>
      <c r="Q71" s="18" t="n">
        <v>0.17447972</v>
      </c>
      <c r="R71" s="20" t="n">
        <v>0.17445874</v>
      </c>
    </row>
    <row r="72" spans="1:18">
      <c r="A72" s="15" t="s">
        <v>414</v>
      </c>
      <c r="B72" s="17" t="n">
        <v>3889</v>
      </c>
      <c r="C72" s="18">
        <f>(3400.0/B72*100)</f>
        <v/>
      </c>
      <c r="D72" s="19" t="n">
        <v>489</v>
      </c>
      <c r="E72" s="18" t="n">
        <v>19.47943272</v>
      </c>
      <c r="F72" s="20" t="n">
        <v>1.88325466</v>
      </c>
      <c r="G72" s="18" t="n">
        <v>80.27996874</v>
      </c>
      <c r="H72" s="20" t="n">
        <v>1.86017461</v>
      </c>
      <c r="I72" s="18" t="s">
        <v>349</v>
      </c>
      <c r="J72" s="20" t="s">
        <v>349</v>
      </c>
      <c r="K72" s="18" t="n">
        <v>0</v>
      </c>
      <c r="L72" s="20" t="n">
        <v>0</v>
      </c>
      <c r="M72" s="18" t="n">
        <v>0</v>
      </c>
      <c r="N72" s="20" t="n">
        <v>0</v>
      </c>
      <c r="O72" s="18" t="n">
        <v>0</v>
      </c>
      <c r="P72" s="20" t="n">
        <v>0</v>
      </c>
      <c r="Q72" s="18" t="n">
        <v>0.24059854</v>
      </c>
      <c r="R72" s="20" t="n">
        <v>0.19068376</v>
      </c>
    </row>
    <row r="73" spans="1:18">
      <c r="A73" s="15" t="s">
        <v>415</v>
      </c>
      <c r="B73" s="17" t="n">
        <v>3597</v>
      </c>
      <c r="C73" s="18">
        <f>(3170.0/B73*100)</f>
        <v/>
      </c>
      <c r="D73" s="19" t="n">
        <v>427</v>
      </c>
      <c r="E73" s="18" t="n">
        <v>49.018227</v>
      </c>
      <c r="F73" s="20" t="n">
        <v>3.29655897</v>
      </c>
      <c r="G73" s="18" t="n">
        <v>50.9715134</v>
      </c>
      <c r="H73" s="20" t="n">
        <v>3.29770105</v>
      </c>
      <c r="I73" s="18" t="s">
        <v>349</v>
      </c>
      <c r="J73" s="20" t="s">
        <v>349</v>
      </c>
      <c r="K73" s="18" t="n">
        <v>0</v>
      </c>
      <c r="L73" s="20" t="n">
        <v>0</v>
      </c>
      <c r="M73" s="18" t="n">
        <v>0</v>
      </c>
      <c r="N73" s="20" t="n">
        <v>0</v>
      </c>
      <c r="O73" s="18" t="n">
        <v>0</v>
      </c>
      <c r="P73" s="20" t="n">
        <v>0</v>
      </c>
      <c r="Q73" s="18" t="n">
        <v>0.01025959</v>
      </c>
      <c r="R73" s="20" t="n">
        <v>0.01022465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(2143.0/B75*100)</f>
        <v/>
      </c>
      <c r="D75" s="19" t="n">
        <v>263</v>
      </c>
      <c r="E75" s="18" t="n">
        <v>48.13988289</v>
      </c>
      <c r="F75" s="20" t="n">
        <v>3.56651089</v>
      </c>
      <c r="G75" s="18" t="n">
        <v>48.20262859</v>
      </c>
      <c r="H75" s="20" t="n">
        <v>3.36441138</v>
      </c>
      <c r="I75" s="18" t="s">
        <v>349</v>
      </c>
      <c r="J75" s="20" t="s">
        <v>349</v>
      </c>
      <c r="K75" s="18" t="n">
        <v>1.72234102</v>
      </c>
      <c r="L75" s="20" t="n">
        <v>0.94928567</v>
      </c>
      <c r="M75" s="18" t="n">
        <v>0</v>
      </c>
      <c r="N75" s="20" t="n">
        <v>0</v>
      </c>
      <c r="O75" s="18" t="n">
        <v>0</v>
      </c>
      <c r="P75" s="20" t="n">
        <v>0</v>
      </c>
      <c r="Q75" s="18" t="n">
        <v>1.9351475</v>
      </c>
      <c r="R75" s="20" t="n">
        <v>1.03048227</v>
      </c>
    </row>
    <row r="76" spans="1:18">
      <c r="A76" s="15" t="s">
        <v>418</v>
      </c>
      <c r="B76" s="17" t="n">
        <v>7052</v>
      </c>
      <c r="C76" s="18">
        <f>(6199.0/B76*100)</f>
        <v/>
      </c>
      <c r="D76" s="19" t="n">
        <v>853</v>
      </c>
      <c r="E76" s="18" t="n">
        <v>44.05192774</v>
      </c>
      <c r="F76" s="20" t="n">
        <v>2.44249275</v>
      </c>
      <c r="G76" s="18" t="n">
        <v>54.07303112</v>
      </c>
      <c r="H76" s="20" t="n">
        <v>2.48387183</v>
      </c>
      <c r="I76" s="18" t="s">
        <v>349</v>
      </c>
      <c r="J76" s="20" t="s">
        <v>349</v>
      </c>
      <c r="K76" s="18" t="n">
        <v>0.8073417899999999</v>
      </c>
      <c r="L76" s="20" t="n">
        <v>0.36363674</v>
      </c>
      <c r="M76" s="18" t="n">
        <v>0</v>
      </c>
      <c r="N76" s="20" t="n">
        <v>0</v>
      </c>
      <c r="O76" s="18" t="n">
        <v>0</v>
      </c>
      <c r="P76" s="20" t="n">
        <v>0</v>
      </c>
      <c r="Q76" s="18" t="n">
        <v>1.06769935</v>
      </c>
      <c r="R76" s="20" t="n">
        <v>0.53148785</v>
      </c>
    </row>
    <row r="77" spans="1:18">
      <c r="A77" s="15" t="s">
        <v>419</v>
      </c>
      <c r="B77" s="17" t="n">
        <v>2908</v>
      </c>
      <c r="C77" s="18">
        <f>(2560.0/B77*100)</f>
        <v/>
      </c>
      <c r="D77" s="19" t="n">
        <v>348</v>
      </c>
      <c r="E77" s="18" t="n">
        <v>44.90919753</v>
      </c>
      <c r="F77" s="20" t="n">
        <v>2.89781266</v>
      </c>
      <c r="G77" s="18" t="n">
        <v>52.14690482</v>
      </c>
      <c r="H77" s="20" t="n">
        <v>2.98545057</v>
      </c>
      <c r="I77" s="18" t="s">
        <v>349</v>
      </c>
      <c r="J77" s="20" t="s">
        <v>349</v>
      </c>
      <c r="K77" s="18" t="n">
        <v>1.25443383</v>
      </c>
      <c r="L77" s="20" t="n">
        <v>0.67823699</v>
      </c>
      <c r="M77" s="18" t="n">
        <v>0</v>
      </c>
      <c r="N77" s="20" t="n">
        <v>0</v>
      </c>
      <c r="O77" s="18" t="n">
        <v>0</v>
      </c>
      <c r="P77" s="20" t="n">
        <v>0</v>
      </c>
      <c r="Q77" s="18" t="n">
        <v>1.68946381</v>
      </c>
      <c r="R77" s="20" t="n">
        <v>0.8001059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(3641.0/B81*100)</f>
        <v/>
      </c>
      <c r="D81" s="19" t="n">
        <v>522</v>
      </c>
      <c r="E81" s="18" t="n">
        <v>42.10144424</v>
      </c>
      <c r="F81" s="20" t="n">
        <v>2.44852812</v>
      </c>
      <c r="G81" s="18" t="n">
        <v>57.89855576</v>
      </c>
      <c r="H81" s="20" t="n">
        <v>2.44852812</v>
      </c>
      <c r="I81" s="18" t="s">
        <v>349</v>
      </c>
      <c r="J81" s="20" t="s">
        <v>349</v>
      </c>
      <c r="K81" s="18" t="n">
        <v>0</v>
      </c>
      <c r="L81" s="20" t="n">
        <v>0</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(6450.0/B7*100)</f>
        <v/>
      </c>
      <c r="D7" s="19" t="n">
        <v>917</v>
      </c>
      <c r="E7" s="18" t="n">
        <v>30.13172764</v>
      </c>
      <c r="F7" s="20" t="n">
        <v>2.05865445</v>
      </c>
      <c r="G7" s="18" t="n">
        <v>62.34795751</v>
      </c>
      <c r="H7" s="20" t="n">
        <v>1.99224662</v>
      </c>
      <c r="I7" s="18" t="s">
        <v>349</v>
      </c>
      <c r="J7" s="20" t="s">
        <v>349</v>
      </c>
      <c r="K7" s="18" t="n">
        <v>0.6096657</v>
      </c>
      <c r="L7" s="20" t="n">
        <v>0.32183164</v>
      </c>
      <c r="M7" s="18" t="n">
        <v>0</v>
      </c>
      <c r="N7" s="20" t="n">
        <v>0</v>
      </c>
      <c r="O7" s="18" t="n">
        <v>0</v>
      </c>
      <c r="P7" s="20" t="n">
        <v>0</v>
      </c>
      <c r="Q7" s="18" t="n">
        <v>6.91064915</v>
      </c>
      <c r="R7" s="20" t="n">
        <v>0.83445345</v>
      </c>
    </row>
    <row r="8" spans="1:18">
      <c r="A8" s="15" t="s">
        <v>350</v>
      </c>
      <c r="B8" s="17" t="n">
        <v>3564</v>
      </c>
      <c r="C8" s="18">
        <f>(3128.0/B8*100)</f>
        <v/>
      </c>
      <c r="D8" s="19" t="n">
        <v>436</v>
      </c>
      <c r="E8" s="18" t="n">
        <v>22.0637152</v>
      </c>
      <c r="F8" s="20" t="n">
        <v>2.39185396</v>
      </c>
      <c r="G8" s="18" t="n">
        <v>69.48608701000001</v>
      </c>
      <c r="H8" s="20" t="n">
        <v>2.76523432</v>
      </c>
      <c r="I8" s="18" t="s">
        <v>349</v>
      </c>
      <c r="J8" s="20" t="s">
        <v>349</v>
      </c>
      <c r="K8" s="18" t="n">
        <v>0</v>
      </c>
      <c r="L8" s="20" t="n">
        <v>0</v>
      </c>
      <c r="M8" s="18" t="n">
        <v>0</v>
      </c>
      <c r="N8" s="20" t="n">
        <v>0</v>
      </c>
      <c r="O8" s="18" t="n">
        <v>0</v>
      </c>
      <c r="P8" s="20" t="n">
        <v>0</v>
      </c>
      <c r="Q8" s="18" t="n">
        <v>8.4501978</v>
      </c>
      <c r="R8" s="20" t="n">
        <v>1.83119406</v>
      </c>
    </row>
    <row r="9" spans="1:18">
      <c r="A9" s="15" t="s">
        <v>351</v>
      </c>
      <c r="B9" s="17" t="n">
        <v>4899</v>
      </c>
      <c r="C9" s="18">
        <f>(4340.0/B9*100)</f>
        <v/>
      </c>
      <c r="D9" s="19" t="n">
        <v>559</v>
      </c>
      <c r="E9" s="18" t="n">
        <v>25.19565438</v>
      </c>
      <c r="F9" s="20" t="n">
        <v>2.1376789</v>
      </c>
      <c r="G9" s="18" t="n">
        <v>67.49251004</v>
      </c>
      <c r="H9" s="20" t="n">
        <v>2.36284799</v>
      </c>
      <c r="I9" s="18" t="s">
        <v>349</v>
      </c>
      <c r="J9" s="20" t="s">
        <v>349</v>
      </c>
      <c r="K9" s="18" t="n">
        <v>0.45534831</v>
      </c>
      <c r="L9" s="20" t="n">
        <v>0.31029938</v>
      </c>
      <c r="M9" s="18" t="n">
        <v>0.40908821</v>
      </c>
      <c r="N9" s="20" t="n">
        <v>0.3147574</v>
      </c>
      <c r="O9" s="18" t="n">
        <v>0</v>
      </c>
      <c r="P9" s="20" t="n">
        <v>0</v>
      </c>
      <c r="Q9" s="18" t="n">
        <v>6.44739907</v>
      </c>
      <c r="R9" s="20" t="n">
        <v>0.93322035</v>
      </c>
    </row>
    <row r="10" spans="1:18">
      <c r="A10" s="15" t="s">
        <v>352</v>
      </c>
      <c r="B10" s="17" t="n">
        <v>10036</v>
      </c>
      <c r="C10" s="18">
        <f>(8831.0/B10*100)</f>
        <v/>
      </c>
      <c r="D10" s="19" t="n">
        <v>1205</v>
      </c>
      <c r="E10" s="18" t="n">
        <v>24.77029142</v>
      </c>
      <c r="F10" s="20" t="n">
        <v>1.6033687</v>
      </c>
      <c r="G10" s="18" t="n">
        <v>69.85815248</v>
      </c>
      <c r="H10" s="20" t="n">
        <v>1.83667934</v>
      </c>
      <c r="I10" s="18" t="s">
        <v>349</v>
      </c>
      <c r="J10" s="20" t="s">
        <v>349</v>
      </c>
      <c r="K10" s="18" t="n">
        <v>0.82237649</v>
      </c>
      <c r="L10" s="20" t="n">
        <v>0.31550519</v>
      </c>
      <c r="M10" s="18" t="n">
        <v>0.11985237</v>
      </c>
      <c r="N10" s="20" t="n">
        <v>0.05902552</v>
      </c>
      <c r="O10" s="18" t="n">
        <v>0</v>
      </c>
      <c r="P10" s="20" t="n">
        <v>0</v>
      </c>
      <c r="Q10" s="18" t="n">
        <v>4.42932724</v>
      </c>
      <c r="R10" s="20" t="n">
        <v>0.95815963</v>
      </c>
    </row>
    <row r="11" spans="1:18">
      <c r="A11" s="15" t="s">
        <v>353</v>
      </c>
      <c r="B11" s="17" t="n">
        <v>3553</v>
      </c>
      <c r="C11" s="18">
        <f>(3138.0/B11*100)</f>
        <v/>
      </c>
      <c r="D11" s="19" t="n">
        <v>415</v>
      </c>
      <c r="E11" s="18" t="n">
        <v>27.23451572</v>
      </c>
      <c r="F11" s="20" t="n">
        <v>2.47062036</v>
      </c>
      <c r="G11" s="18" t="n">
        <v>57.86410365</v>
      </c>
      <c r="H11" s="20" t="n">
        <v>2.65817608</v>
      </c>
      <c r="I11" s="18" t="s">
        <v>349</v>
      </c>
      <c r="J11" s="20" t="s">
        <v>349</v>
      </c>
      <c r="K11" s="18" t="n">
        <v>1.77048499</v>
      </c>
      <c r="L11" s="20" t="n">
        <v>0.90222959</v>
      </c>
      <c r="M11" s="18" t="n">
        <v>0</v>
      </c>
      <c r="N11" s="20" t="n">
        <v>0</v>
      </c>
      <c r="O11" s="18" t="n">
        <v>0</v>
      </c>
      <c r="P11" s="20" t="n">
        <v>0</v>
      </c>
      <c r="Q11" s="18" t="n">
        <v>13.13089564</v>
      </c>
      <c r="R11" s="20" t="n">
        <v>2.19853595</v>
      </c>
    </row>
    <row r="12" spans="1:18">
      <c r="A12" s="15" t="s">
        <v>354</v>
      </c>
      <c r="B12" s="17" t="n">
        <v>3472</v>
      </c>
      <c r="C12" s="18">
        <f>(3057.0/B12*100)</f>
        <v/>
      </c>
      <c r="D12" s="19" t="n">
        <v>415</v>
      </c>
      <c r="E12" s="18" t="n">
        <v>23.61835949</v>
      </c>
      <c r="F12" s="20" t="n">
        <v>2.45235402</v>
      </c>
      <c r="G12" s="18" t="n">
        <v>70.02273777000001</v>
      </c>
      <c r="H12" s="20" t="n">
        <v>2.94350359</v>
      </c>
      <c r="I12" s="18" t="s">
        <v>349</v>
      </c>
      <c r="J12" s="20" t="s">
        <v>349</v>
      </c>
      <c r="K12" s="18" t="n">
        <v>0</v>
      </c>
      <c r="L12" s="20" t="n">
        <v>0</v>
      </c>
      <c r="M12" s="18" t="n">
        <v>0</v>
      </c>
      <c r="N12" s="20" t="n">
        <v>0</v>
      </c>
      <c r="O12" s="18" t="n">
        <v>0</v>
      </c>
      <c r="P12" s="20" t="n">
        <v>0</v>
      </c>
      <c r="Q12" s="18" t="n">
        <v>6.35890274</v>
      </c>
      <c r="R12" s="20" t="n">
        <v>1.49872539</v>
      </c>
    </row>
    <row r="13" spans="1:18">
      <c r="A13" s="15" t="s">
        <v>355</v>
      </c>
      <c r="B13" s="17" t="n">
        <v>3559</v>
      </c>
      <c r="C13" s="18">
        <f>(3143.0/B13*100)</f>
        <v/>
      </c>
      <c r="D13" s="19" t="n">
        <v>416</v>
      </c>
      <c r="E13" s="18" t="n">
        <v>25.21411577</v>
      </c>
      <c r="F13" s="20" t="n">
        <v>2.77028606</v>
      </c>
      <c r="G13" s="18" t="n">
        <v>70.29292356000001</v>
      </c>
      <c r="H13" s="20" t="n">
        <v>2.88141453</v>
      </c>
      <c r="I13" s="18" t="s">
        <v>349</v>
      </c>
      <c r="J13" s="20" t="s">
        <v>349</v>
      </c>
      <c r="K13" s="18" t="n">
        <v>0.64798266</v>
      </c>
      <c r="L13" s="20" t="n">
        <v>0.58390866</v>
      </c>
      <c r="M13" s="18" t="n">
        <v>0.3460979</v>
      </c>
      <c r="N13" s="20" t="n">
        <v>0.36350925</v>
      </c>
      <c r="O13" s="18" t="n">
        <v>0</v>
      </c>
      <c r="P13" s="20" t="n">
        <v>0</v>
      </c>
      <c r="Q13" s="18" t="n">
        <v>3.49888011</v>
      </c>
      <c r="R13" s="20" t="n">
        <v>1.0771239</v>
      </c>
    </row>
    <row r="14" spans="1:18">
      <c r="A14" s="15" t="s">
        <v>356</v>
      </c>
      <c r="B14" s="17" t="n">
        <v>2799</v>
      </c>
      <c r="C14" s="18">
        <f>(2478.0/B14*100)</f>
        <v/>
      </c>
      <c r="D14" s="19" t="n">
        <v>321</v>
      </c>
      <c r="E14" s="18" t="n">
        <v>22.58634445</v>
      </c>
      <c r="F14" s="20" t="n">
        <v>2.5314525</v>
      </c>
      <c r="G14" s="18" t="n">
        <v>72.4651253</v>
      </c>
      <c r="H14" s="20" t="n">
        <v>2.69179718</v>
      </c>
      <c r="I14" s="18" t="s">
        <v>349</v>
      </c>
      <c r="J14" s="20" t="s">
        <v>349</v>
      </c>
      <c r="K14" s="18" t="n">
        <v>0.32710706</v>
      </c>
      <c r="L14" s="20" t="n">
        <v>0.33043854</v>
      </c>
      <c r="M14" s="18" t="n">
        <v>0</v>
      </c>
      <c r="N14" s="20" t="n">
        <v>0</v>
      </c>
      <c r="O14" s="18" t="n">
        <v>0</v>
      </c>
      <c r="P14" s="20" t="n">
        <v>0</v>
      </c>
      <c r="Q14" s="18" t="n">
        <v>4.62142319</v>
      </c>
      <c r="R14" s="20" t="n">
        <v>1.4046809</v>
      </c>
    </row>
    <row r="15" spans="1:18">
      <c r="A15" s="15" t="s">
        <v>357</v>
      </c>
      <c r="B15" s="17" t="n">
        <v>3019</v>
      </c>
      <c r="C15" s="18">
        <f>(2652.0/B15*100)</f>
        <v/>
      </c>
      <c r="D15" s="19" t="n">
        <v>367</v>
      </c>
      <c r="E15" s="18" t="n">
        <v>25.46227645</v>
      </c>
      <c r="F15" s="20" t="n">
        <v>2.41282557</v>
      </c>
      <c r="G15" s="18" t="n">
        <v>69.02996031000001</v>
      </c>
      <c r="H15" s="20" t="n">
        <v>2.70884691</v>
      </c>
      <c r="I15" s="18" t="s">
        <v>349</v>
      </c>
      <c r="J15" s="20" t="s">
        <v>349</v>
      </c>
      <c r="K15" s="18" t="n">
        <v>0.24517511</v>
      </c>
      <c r="L15" s="20" t="n">
        <v>0.24516315</v>
      </c>
      <c r="M15" s="18" t="n">
        <v>0</v>
      </c>
      <c r="N15" s="20" t="n">
        <v>0</v>
      </c>
      <c r="O15" s="18" t="n">
        <v>0</v>
      </c>
      <c r="P15" s="20" t="n">
        <v>0</v>
      </c>
      <c r="Q15" s="18" t="n">
        <v>5.26258813</v>
      </c>
      <c r="R15" s="20" t="n">
        <v>1.30426079</v>
      </c>
    </row>
    <row r="16" spans="1:18">
      <c r="A16" s="15" t="s">
        <v>358</v>
      </c>
      <c r="B16" s="17" t="n">
        <v>2997</v>
      </c>
      <c r="C16" s="18">
        <f>(2642.0/B16*100)</f>
        <v/>
      </c>
      <c r="D16" s="19" t="n">
        <v>355</v>
      </c>
      <c r="E16" s="18" t="n">
        <v>33.05485034</v>
      </c>
      <c r="F16" s="20" t="n">
        <v>2.51944859</v>
      </c>
      <c r="G16" s="18" t="n">
        <v>56.11482291</v>
      </c>
      <c r="H16" s="20" t="n">
        <v>2.68105675</v>
      </c>
      <c r="I16" s="18" t="s">
        <v>349</v>
      </c>
      <c r="J16" s="20" t="s">
        <v>349</v>
      </c>
      <c r="K16" s="18" t="n">
        <v>1.47876064</v>
      </c>
      <c r="L16" s="20" t="n">
        <v>0.7394545300000001</v>
      </c>
      <c r="M16" s="18" t="n">
        <v>0</v>
      </c>
      <c r="N16" s="20" t="n">
        <v>0</v>
      </c>
      <c r="O16" s="18" t="n">
        <v>0</v>
      </c>
      <c r="P16" s="20" t="n">
        <v>0</v>
      </c>
      <c r="Q16" s="18" t="n">
        <v>9.351566119999999</v>
      </c>
      <c r="R16" s="20" t="n">
        <v>1.39225963</v>
      </c>
    </row>
    <row r="17" spans="1:18">
      <c r="A17" s="15" t="s">
        <v>359</v>
      </c>
      <c r="B17" s="17" t="n">
        <v>3307</v>
      </c>
      <c r="C17" s="18">
        <f>(2894.0/B17*100)</f>
        <v/>
      </c>
      <c r="D17" s="19" t="n">
        <v>413</v>
      </c>
      <c r="E17" s="18" t="n">
        <v>25.2889377</v>
      </c>
      <c r="F17" s="20" t="n">
        <v>1.93102382</v>
      </c>
      <c r="G17" s="18" t="n">
        <v>67.82110584</v>
      </c>
      <c r="H17" s="20" t="n">
        <v>2.33440402</v>
      </c>
      <c r="I17" s="18" t="s">
        <v>349</v>
      </c>
      <c r="J17" s="20" t="s">
        <v>349</v>
      </c>
      <c r="K17" s="18" t="n">
        <v>0.71166154</v>
      </c>
      <c r="L17" s="20" t="n">
        <v>0.44466535</v>
      </c>
      <c r="M17" s="18" t="n">
        <v>0</v>
      </c>
      <c r="N17" s="20" t="n">
        <v>0</v>
      </c>
      <c r="O17" s="18" t="n">
        <v>0</v>
      </c>
      <c r="P17" s="20" t="n">
        <v>0</v>
      </c>
      <c r="Q17" s="18" t="n">
        <v>6.17829492</v>
      </c>
      <c r="R17" s="20" t="n">
        <v>1.21752508</v>
      </c>
    </row>
    <row r="18" spans="1:18">
      <c r="A18" s="15" t="s">
        <v>360</v>
      </c>
      <c r="B18" s="17" t="n">
        <v>2826</v>
      </c>
      <c r="C18" s="18">
        <f>(2486.0/B18*100)</f>
        <v/>
      </c>
      <c r="D18" s="19" t="n">
        <v>340</v>
      </c>
      <c r="E18" s="18" t="n">
        <v>31.91452618</v>
      </c>
      <c r="F18" s="20" t="n">
        <v>2.28760425</v>
      </c>
      <c r="G18" s="18" t="n">
        <v>52.97139488</v>
      </c>
      <c r="H18" s="20" t="n">
        <v>2.64545704</v>
      </c>
      <c r="I18" s="18" t="s">
        <v>349</v>
      </c>
      <c r="J18" s="20" t="s">
        <v>349</v>
      </c>
      <c r="K18" s="18" t="n">
        <v>1.86494645</v>
      </c>
      <c r="L18" s="20" t="n">
        <v>0.86813753</v>
      </c>
      <c r="M18" s="18" t="n">
        <v>0</v>
      </c>
      <c r="N18" s="20" t="n">
        <v>0</v>
      </c>
      <c r="O18" s="18" t="n">
        <v>0</v>
      </c>
      <c r="P18" s="20" t="n">
        <v>0</v>
      </c>
      <c r="Q18" s="18" t="n">
        <v>13.24913249</v>
      </c>
      <c r="R18" s="20" t="n">
        <v>2.15819654</v>
      </c>
    </row>
    <row r="19" spans="1:18">
      <c r="A19" s="15" t="s">
        <v>361</v>
      </c>
      <c r="B19" s="17" t="n">
        <v>2808</v>
      </c>
      <c r="C19" s="18">
        <f>(2460.0/B19*100)</f>
        <v/>
      </c>
      <c r="D19" s="19" t="n">
        <v>348</v>
      </c>
      <c r="E19" s="18" t="n">
        <v>28.96957421</v>
      </c>
      <c r="F19" s="20" t="n">
        <v>2.92229302</v>
      </c>
      <c r="G19" s="18" t="n">
        <v>60.56124722</v>
      </c>
      <c r="H19" s="20" t="n">
        <v>3.26396149</v>
      </c>
      <c r="I19" s="18" t="s">
        <v>349</v>
      </c>
      <c r="J19" s="20" t="s">
        <v>349</v>
      </c>
      <c r="K19" s="18" t="n">
        <v>0</v>
      </c>
      <c r="L19" s="20" t="n">
        <v>0</v>
      </c>
      <c r="M19" s="18" t="n">
        <v>0</v>
      </c>
      <c r="N19" s="20" t="n">
        <v>0</v>
      </c>
      <c r="O19" s="18" t="n">
        <v>0</v>
      </c>
      <c r="P19" s="20" t="n">
        <v>0</v>
      </c>
      <c r="Q19" s="18" t="n">
        <v>10.46917857</v>
      </c>
      <c r="R19" s="20" t="n">
        <v>2.48158067</v>
      </c>
    </row>
    <row r="20" spans="1:18">
      <c r="A20" s="15" t="s">
        <v>362</v>
      </c>
      <c r="B20" s="17" t="n">
        <v>1630</v>
      </c>
      <c r="C20" s="18">
        <f>(1434.0/B20*100)</f>
        <v/>
      </c>
      <c r="D20" s="19" t="n">
        <v>196</v>
      </c>
      <c r="E20" s="18" t="n">
        <v>43.20714237</v>
      </c>
      <c r="F20" s="20" t="n">
        <v>3.53071051</v>
      </c>
      <c r="G20" s="18" t="n">
        <v>48.93558058</v>
      </c>
      <c r="H20" s="20" t="n">
        <v>3.70283614</v>
      </c>
      <c r="I20" s="18" t="s">
        <v>349</v>
      </c>
      <c r="J20" s="20" t="s">
        <v>349</v>
      </c>
      <c r="K20" s="18" t="n">
        <v>0</v>
      </c>
      <c r="L20" s="20" t="n">
        <v>0</v>
      </c>
      <c r="M20" s="18" t="n">
        <v>0</v>
      </c>
      <c r="N20" s="20" t="n">
        <v>0</v>
      </c>
      <c r="O20" s="18" t="n">
        <v>0</v>
      </c>
      <c r="P20" s="20" t="n">
        <v>0</v>
      </c>
      <c r="Q20" s="18" t="n">
        <v>7.85727705</v>
      </c>
      <c r="R20" s="20" t="n">
        <v>1.81876644</v>
      </c>
    </row>
    <row r="21" spans="1:18">
      <c r="A21" s="15" t="s">
        <v>363</v>
      </c>
      <c r="B21" s="17" t="n">
        <v>2908</v>
      </c>
      <c r="C21" s="18">
        <f>(2415.0/B21*100)</f>
        <v/>
      </c>
      <c r="D21" s="19" t="n">
        <v>493</v>
      </c>
      <c r="E21" s="18" t="n">
        <v>27.27141948</v>
      </c>
      <c r="F21" s="20" t="n">
        <v>1.86913968</v>
      </c>
      <c r="G21" s="18" t="n">
        <v>69.12256759</v>
      </c>
      <c r="H21" s="20" t="n">
        <v>1.86414109</v>
      </c>
      <c r="I21" s="18" t="s">
        <v>349</v>
      </c>
      <c r="J21" s="20" t="s">
        <v>349</v>
      </c>
      <c r="K21" s="18" t="n">
        <v>0.18978685</v>
      </c>
      <c r="L21" s="20" t="n">
        <v>0.18918125</v>
      </c>
      <c r="M21" s="18" t="n">
        <v>0</v>
      </c>
      <c r="N21" s="20" t="n">
        <v>0</v>
      </c>
      <c r="O21" s="18" t="n">
        <v>0</v>
      </c>
      <c r="P21" s="20" t="n">
        <v>0</v>
      </c>
      <c r="Q21" s="18" t="n">
        <v>3.41622607</v>
      </c>
      <c r="R21" s="20" t="n">
        <v>0.88465767</v>
      </c>
    </row>
    <row r="22" spans="1:18">
      <c r="A22" s="15" t="s">
        <v>364</v>
      </c>
      <c r="B22" s="17" t="n">
        <v>2931</v>
      </c>
      <c r="C22" s="18">
        <f>(2578.0/B22*100)</f>
        <v/>
      </c>
      <c r="D22" s="19" t="n">
        <v>353</v>
      </c>
      <c r="E22" s="18" t="n">
        <v>31.64095303</v>
      </c>
      <c r="F22" s="20" t="n">
        <v>2.34940323</v>
      </c>
      <c r="G22" s="18" t="n">
        <v>56.55575405</v>
      </c>
      <c r="H22" s="20" t="n">
        <v>3.1425699</v>
      </c>
      <c r="I22" s="18" t="s">
        <v>349</v>
      </c>
      <c r="J22" s="20" t="s">
        <v>349</v>
      </c>
      <c r="K22" s="18" t="n">
        <v>1.05995902</v>
      </c>
      <c r="L22" s="20" t="n">
        <v>0.65646653</v>
      </c>
      <c r="M22" s="18" t="n">
        <v>0</v>
      </c>
      <c r="N22" s="20" t="n">
        <v>0</v>
      </c>
      <c r="O22" s="18" t="n">
        <v>0</v>
      </c>
      <c r="P22" s="20" t="n">
        <v>0</v>
      </c>
      <c r="Q22" s="18" t="n">
        <v>10.74333391</v>
      </c>
      <c r="R22" s="20" t="n">
        <v>2.25068409</v>
      </c>
    </row>
    <row r="23" spans="1:18">
      <c r="A23" s="15" t="s">
        <v>365</v>
      </c>
      <c r="B23" s="17" t="n">
        <v>5791</v>
      </c>
      <c r="C23" s="18">
        <f>(5073.0/B23*100)</f>
        <v/>
      </c>
      <c r="D23" s="19" t="n">
        <v>718</v>
      </c>
      <c r="E23" s="18" t="n">
        <v>28.49939245</v>
      </c>
      <c r="F23" s="20" t="n">
        <v>2.45373939</v>
      </c>
      <c r="G23" s="18" t="n">
        <v>60.39936796</v>
      </c>
      <c r="H23" s="20" t="n">
        <v>2.80612083</v>
      </c>
      <c r="I23" s="18" t="s">
        <v>349</v>
      </c>
      <c r="J23" s="20" t="s">
        <v>349</v>
      </c>
      <c r="K23" s="18" t="n">
        <v>0.27769099</v>
      </c>
      <c r="L23" s="20" t="n">
        <v>0.2724824</v>
      </c>
      <c r="M23" s="18" t="n">
        <v>0.16406252</v>
      </c>
      <c r="N23" s="20" t="n">
        <v>0.1755941</v>
      </c>
      <c r="O23" s="18" t="n">
        <v>0</v>
      </c>
      <c r="P23" s="20" t="n">
        <v>0</v>
      </c>
      <c r="Q23" s="18" t="n">
        <v>10.65948608</v>
      </c>
      <c r="R23" s="20" t="n">
        <v>1.68290414</v>
      </c>
    </row>
    <row r="24" spans="1:18">
      <c r="A24" s="15" t="s">
        <v>366</v>
      </c>
      <c r="B24" s="17" t="n">
        <v>3338</v>
      </c>
      <c r="C24" s="18">
        <f>(2924.0/B24*100)</f>
        <v/>
      </c>
      <c r="D24" s="19" t="n">
        <v>414</v>
      </c>
      <c r="E24" s="18" t="n">
        <v>22.30648281</v>
      </c>
      <c r="F24" s="20" t="n">
        <v>1.90580496</v>
      </c>
      <c r="G24" s="18" t="n">
        <v>69.93338896</v>
      </c>
      <c r="H24" s="20" t="n">
        <v>2.54028853</v>
      </c>
      <c r="I24" s="18" t="s">
        <v>349</v>
      </c>
      <c r="J24" s="20" t="s">
        <v>349</v>
      </c>
      <c r="K24" s="18" t="n">
        <v>0.39654827</v>
      </c>
      <c r="L24" s="20" t="n">
        <v>0.28553133</v>
      </c>
      <c r="M24" s="18" t="n">
        <v>0.23775414</v>
      </c>
      <c r="N24" s="20" t="n">
        <v>0.23920022</v>
      </c>
      <c r="O24" s="18" t="n">
        <v>0</v>
      </c>
      <c r="P24" s="20" t="n">
        <v>0</v>
      </c>
      <c r="Q24" s="18" t="n">
        <v>7.12582582</v>
      </c>
      <c r="R24" s="20" t="n">
        <v>1.3641253</v>
      </c>
    </row>
    <row r="25" spans="1:18">
      <c r="A25" s="15" t="s">
        <v>367</v>
      </c>
      <c r="B25" s="17" t="n">
        <v>2912</v>
      </c>
      <c r="C25" s="18">
        <f>(2574.0/B25*100)</f>
        <v/>
      </c>
      <c r="D25" s="19" t="n">
        <v>338</v>
      </c>
      <c r="E25" s="18" t="n">
        <v>26.72985144</v>
      </c>
      <c r="F25" s="20" t="n">
        <v>2.81309055</v>
      </c>
      <c r="G25" s="18" t="n">
        <v>67.81674635</v>
      </c>
      <c r="H25" s="20" t="n">
        <v>3.1664401</v>
      </c>
      <c r="I25" s="18" t="s">
        <v>349</v>
      </c>
      <c r="J25" s="20" t="s">
        <v>349</v>
      </c>
      <c r="K25" s="18" t="n">
        <v>0.59307864</v>
      </c>
      <c r="L25" s="20" t="n">
        <v>0.42064308</v>
      </c>
      <c r="M25" s="18" t="n">
        <v>0</v>
      </c>
      <c r="N25" s="20" t="n">
        <v>0</v>
      </c>
      <c r="O25" s="18" t="n">
        <v>0</v>
      </c>
      <c r="P25" s="20" t="n">
        <v>0</v>
      </c>
      <c r="Q25" s="18" t="n">
        <v>4.86032356</v>
      </c>
      <c r="R25" s="20" t="n">
        <v>1.20099614</v>
      </c>
    </row>
    <row r="26" spans="1:18">
      <c r="A26" s="15" t="s">
        <v>368</v>
      </c>
      <c r="B26" s="17" t="n">
        <v>2450</v>
      </c>
      <c r="C26" s="18">
        <f>(2135.0/B26*100)</f>
        <v/>
      </c>
      <c r="D26" s="19" t="n">
        <v>315</v>
      </c>
      <c r="E26" s="18" t="n">
        <v>65.06927775</v>
      </c>
      <c r="F26" s="20" t="n">
        <v>2.79982664</v>
      </c>
      <c r="G26" s="18" t="n">
        <v>27.58861375</v>
      </c>
      <c r="H26" s="20" t="n">
        <v>2.51299614</v>
      </c>
      <c r="I26" s="18" t="s">
        <v>349</v>
      </c>
      <c r="J26" s="20" t="s">
        <v>349</v>
      </c>
      <c r="K26" s="18" t="n">
        <v>0</v>
      </c>
      <c r="L26" s="20" t="n">
        <v>0</v>
      </c>
      <c r="M26" s="18" t="n">
        <v>0</v>
      </c>
      <c r="N26" s="20" t="n">
        <v>0</v>
      </c>
      <c r="O26" s="18" t="n">
        <v>0</v>
      </c>
      <c r="P26" s="20" t="n">
        <v>0</v>
      </c>
      <c r="Q26" s="18" t="n">
        <v>7.3421085</v>
      </c>
      <c r="R26" s="20" t="n">
        <v>1.57582038</v>
      </c>
    </row>
    <row r="27" spans="1:18">
      <c r="A27" s="15" t="s">
        <v>369</v>
      </c>
      <c r="B27" s="17" t="n">
        <v>2616</v>
      </c>
      <c r="C27" s="18">
        <f>(2310.0/B27*100)</f>
        <v/>
      </c>
      <c r="D27" s="19" t="n">
        <v>306</v>
      </c>
      <c r="E27" s="18" t="n">
        <v>27.36250472</v>
      </c>
      <c r="F27" s="20" t="n">
        <v>2.73520595</v>
      </c>
      <c r="G27" s="18" t="n">
        <v>64.65620194</v>
      </c>
      <c r="H27" s="20" t="n">
        <v>2.97443783</v>
      </c>
      <c r="I27" s="18" t="s">
        <v>349</v>
      </c>
      <c r="J27" s="20" t="s">
        <v>349</v>
      </c>
      <c r="K27" s="18" t="n">
        <v>0.32319293</v>
      </c>
      <c r="L27" s="20" t="n">
        <v>0.31991869</v>
      </c>
      <c r="M27" s="18" t="n">
        <v>0</v>
      </c>
      <c r="N27" s="20" t="n">
        <v>0</v>
      </c>
      <c r="O27" s="18" t="n">
        <v>0</v>
      </c>
      <c r="P27" s="20" t="n">
        <v>0</v>
      </c>
      <c r="Q27" s="18" t="n">
        <v>7.65810041</v>
      </c>
      <c r="R27" s="20" t="n">
        <v>1.62166383</v>
      </c>
    </row>
    <row r="28" spans="1:18">
      <c r="A28" s="15" t="s">
        <v>370</v>
      </c>
      <c r="B28" s="17" t="n">
        <v>3765</v>
      </c>
      <c r="C28" s="18">
        <f>(3314.0/B28*100)</f>
        <v/>
      </c>
      <c r="D28" s="19" t="n">
        <v>451</v>
      </c>
      <c r="E28" s="18" t="n">
        <v>53.23669077</v>
      </c>
      <c r="F28" s="20" t="n">
        <v>2.77279924</v>
      </c>
      <c r="G28" s="18" t="n">
        <v>42.85850976</v>
      </c>
      <c r="H28" s="20" t="n">
        <v>2.8729415</v>
      </c>
      <c r="I28" s="18" t="s">
        <v>349</v>
      </c>
      <c r="J28" s="20" t="s">
        <v>349</v>
      </c>
      <c r="K28" s="18" t="n">
        <v>0.80613495</v>
      </c>
      <c r="L28" s="20" t="n">
        <v>0.48552908</v>
      </c>
      <c r="M28" s="18" t="n">
        <v>0.20053164</v>
      </c>
      <c r="N28" s="20" t="n">
        <v>0.1797727</v>
      </c>
      <c r="O28" s="18" t="n">
        <v>0</v>
      </c>
      <c r="P28" s="20" t="n">
        <v>0</v>
      </c>
      <c r="Q28" s="18" t="n">
        <v>2.89813289</v>
      </c>
      <c r="R28" s="20" t="n">
        <v>0.8151988999999999</v>
      </c>
    </row>
    <row r="29" spans="1:18">
      <c r="A29" s="15" t="s">
        <v>371</v>
      </c>
      <c r="B29" s="17" t="n">
        <v>2685</v>
      </c>
      <c r="C29" s="18">
        <f>(2377.0/B29*100)</f>
        <v/>
      </c>
      <c r="D29" s="19" t="n">
        <v>308</v>
      </c>
      <c r="E29" s="18" t="n">
        <v>27.5682925</v>
      </c>
      <c r="F29" s="20" t="n">
        <v>2.32972317</v>
      </c>
      <c r="G29" s="18" t="n">
        <v>71.72098696</v>
      </c>
      <c r="H29" s="20" t="n">
        <v>2.40683589</v>
      </c>
      <c r="I29" s="18" t="s">
        <v>349</v>
      </c>
      <c r="J29" s="20" t="s">
        <v>349</v>
      </c>
      <c r="K29" s="18" t="n">
        <v>0</v>
      </c>
      <c r="L29" s="20" t="n">
        <v>0</v>
      </c>
      <c r="M29" s="18" t="n">
        <v>0</v>
      </c>
      <c r="N29" s="20" t="n">
        <v>0</v>
      </c>
      <c r="O29" s="18" t="n">
        <v>0</v>
      </c>
      <c r="P29" s="20" t="n">
        <v>0</v>
      </c>
      <c r="Q29" s="18" t="n">
        <v>0.71072054</v>
      </c>
      <c r="R29" s="20" t="n">
        <v>0.47848439</v>
      </c>
    </row>
    <row r="30" spans="1:18">
      <c r="A30" s="15" t="s">
        <v>372</v>
      </c>
      <c r="B30" s="17" t="n">
        <v>2263</v>
      </c>
      <c r="C30" s="18">
        <f>(1975.0/B30*100)</f>
        <v/>
      </c>
      <c r="D30" s="19" t="n">
        <v>288</v>
      </c>
      <c r="E30" s="18" t="n">
        <v>30.11616906</v>
      </c>
      <c r="F30" s="20" t="n">
        <v>2.54277232</v>
      </c>
      <c r="G30" s="18" t="n">
        <v>60.75511481</v>
      </c>
      <c r="H30" s="20" t="n">
        <v>3.14257666</v>
      </c>
      <c r="I30" s="18" t="s">
        <v>349</v>
      </c>
      <c r="J30" s="20" t="s">
        <v>349</v>
      </c>
      <c r="K30" s="18" t="n">
        <v>0.31500272</v>
      </c>
      <c r="L30" s="20" t="n">
        <v>0.31940599</v>
      </c>
      <c r="M30" s="18" t="n">
        <v>0.22637873</v>
      </c>
      <c r="N30" s="20" t="n">
        <v>0.2331711</v>
      </c>
      <c r="O30" s="18" t="n">
        <v>0</v>
      </c>
      <c r="P30" s="20" t="n">
        <v>0</v>
      </c>
      <c r="Q30" s="18" t="n">
        <v>8.58733469</v>
      </c>
      <c r="R30" s="20" t="n">
        <v>1.73915525</v>
      </c>
    </row>
    <row r="31" spans="1:18">
      <c r="A31" s="15" t="s">
        <v>373</v>
      </c>
      <c r="B31" s="17" t="n">
        <v>2750</v>
      </c>
      <c r="C31" s="18">
        <f>(2423.0/B31*100)</f>
        <v/>
      </c>
      <c r="D31" s="19" t="n">
        <v>327</v>
      </c>
      <c r="E31" s="18" t="n">
        <v>28.48136487</v>
      </c>
      <c r="F31" s="20" t="n">
        <v>2.69755375</v>
      </c>
      <c r="G31" s="18" t="n">
        <v>63.66550316</v>
      </c>
      <c r="H31" s="20" t="n">
        <v>2.89706037</v>
      </c>
      <c r="I31" s="18" t="s">
        <v>349</v>
      </c>
      <c r="J31" s="20" t="s">
        <v>349</v>
      </c>
      <c r="K31" s="18" t="n">
        <v>0.54474772</v>
      </c>
      <c r="L31" s="20" t="n">
        <v>0.37559296</v>
      </c>
      <c r="M31" s="18" t="n">
        <v>0</v>
      </c>
      <c r="N31" s="20" t="n">
        <v>0</v>
      </c>
      <c r="O31" s="18" t="n">
        <v>0</v>
      </c>
      <c r="P31" s="20" t="n">
        <v>0</v>
      </c>
      <c r="Q31" s="18" t="n">
        <v>7.30838425</v>
      </c>
      <c r="R31" s="20" t="n">
        <v>1.52927707</v>
      </c>
    </row>
    <row r="32" spans="1:18">
      <c r="A32" s="15" t="s">
        <v>374</v>
      </c>
      <c r="B32" s="17" t="n">
        <v>2269</v>
      </c>
      <c r="C32" s="18">
        <f>(1904.0/B32*100)</f>
        <v/>
      </c>
      <c r="D32" s="19" t="n">
        <v>365</v>
      </c>
      <c r="E32" s="18" t="n">
        <v>23.91607478</v>
      </c>
      <c r="F32" s="20" t="n">
        <v>2.33572893</v>
      </c>
      <c r="G32" s="18" t="n">
        <v>69.56920961</v>
      </c>
      <c r="H32" s="20" t="n">
        <v>2.63492963</v>
      </c>
      <c r="I32" s="18" t="s">
        <v>349</v>
      </c>
      <c r="J32" s="20" t="s">
        <v>349</v>
      </c>
      <c r="K32" s="18" t="n">
        <v>0</v>
      </c>
      <c r="L32" s="20" t="n">
        <v>0</v>
      </c>
      <c r="M32" s="18" t="n">
        <v>0</v>
      </c>
      <c r="N32" s="20" t="n">
        <v>0</v>
      </c>
      <c r="O32" s="18" t="n">
        <v>0</v>
      </c>
      <c r="P32" s="20" t="n">
        <v>0</v>
      </c>
      <c r="Q32" s="18" t="n">
        <v>6.51471561</v>
      </c>
      <c r="R32" s="20" t="n">
        <v>1.23071724</v>
      </c>
    </row>
    <row r="33" spans="1:18">
      <c r="A33" s="15" t="s">
        <v>375</v>
      </c>
      <c r="B33" s="17" t="n">
        <v>3674</v>
      </c>
      <c r="C33" s="18">
        <f>(3233.0/B33*100)</f>
        <v/>
      </c>
      <c r="D33" s="19" t="n">
        <v>441</v>
      </c>
      <c r="E33" s="18" t="n">
        <v>26.87096235</v>
      </c>
      <c r="F33" s="20" t="n">
        <v>2.72093727</v>
      </c>
      <c r="G33" s="18" t="n">
        <v>65.72330622</v>
      </c>
      <c r="H33" s="20" t="n">
        <v>2.54210009</v>
      </c>
      <c r="I33" s="18" t="s">
        <v>349</v>
      </c>
      <c r="J33" s="20" t="s">
        <v>349</v>
      </c>
      <c r="K33" s="18" t="n">
        <v>1.69938427</v>
      </c>
      <c r="L33" s="20" t="n">
        <v>1.26339722</v>
      </c>
      <c r="M33" s="18" t="n">
        <v>0</v>
      </c>
      <c r="N33" s="20" t="n">
        <v>0</v>
      </c>
      <c r="O33" s="18" t="n">
        <v>0</v>
      </c>
      <c r="P33" s="20" t="n">
        <v>0</v>
      </c>
      <c r="Q33" s="18" t="n">
        <v>5.70634717</v>
      </c>
      <c r="R33" s="20" t="n">
        <v>1.18676234</v>
      </c>
    </row>
    <row r="34" spans="1:18">
      <c r="A34" s="15" t="s">
        <v>376</v>
      </c>
      <c r="B34" s="17" t="n">
        <v>3315</v>
      </c>
      <c r="C34" s="18">
        <f>(2907.0/B34*100)</f>
        <v/>
      </c>
      <c r="D34" s="19" t="n">
        <v>408</v>
      </c>
      <c r="E34" s="18" t="n">
        <v>37.72888543</v>
      </c>
      <c r="F34" s="20" t="n">
        <v>2.31789331</v>
      </c>
      <c r="G34" s="18" t="n">
        <v>54.88091773</v>
      </c>
      <c r="H34" s="20" t="n">
        <v>2.34355903</v>
      </c>
      <c r="I34" s="18" t="s">
        <v>349</v>
      </c>
      <c r="J34" s="20" t="s">
        <v>349</v>
      </c>
      <c r="K34" s="18" t="n">
        <v>0.19362222</v>
      </c>
      <c r="L34" s="20" t="n">
        <v>0.19343048</v>
      </c>
      <c r="M34" s="18" t="n">
        <v>0</v>
      </c>
      <c r="N34" s="20" t="n">
        <v>0</v>
      </c>
      <c r="O34" s="18" t="n">
        <v>0</v>
      </c>
      <c r="P34" s="20" t="n">
        <v>0</v>
      </c>
      <c r="Q34" s="18" t="n">
        <v>7.19657462</v>
      </c>
      <c r="R34" s="20" t="n">
        <v>1.23446921</v>
      </c>
    </row>
    <row r="35" spans="1:18">
      <c r="A35" s="15" t="s">
        <v>377</v>
      </c>
      <c r="B35" s="17" t="n">
        <v>3505</v>
      </c>
      <c r="C35" s="18">
        <f>(3097.0/B35*100)</f>
        <v/>
      </c>
      <c r="D35" s="19" t="n">
        <v>408</v>
      </c>
      <c r="E35" s="18" t="n">
        <v>23.21549134</v>
      </c>
      <c r="F35" s="20" t="n">
        <v>2.28968916</v>
      </c>
      <c r="G35" s="18" t="n">
        <v>68.28564998</v>
      </c>
      <c r="H35" s="20" t="n">
        <v>2.93078216</v>
      </c>
      <c r="I35" s="18" t="s">
        <v>349</v>
      </c>
      <c r="J35" s="20" t="s">
        <v>349</v>
      </c>
      <c r="K35" s="18" t="n">
        <v>0.14528472</v>
      </c>
      <c r="L35" s="20" t="n">
        <v>0.14560942</v>
      </c>
      <c r="M35" s="18" t="n">
        <v>0.45038262</v>
      </c>
      <c r="N35" s="20" t="n">
        <v>0.45717212</v>
      </c>
      <c r="O35" s="18" t="n">
        <v>0</v>
      </c>
      <c r="P35" s="20" t="n">
        <v>0</v>
      </c>
      <c r="Q35" s="18" t="n">
        <v>7.90319134</v>
      </c>
      <c r="R35" s="20" t="n">
        <v>1.56802046</v>
      </c>
    </row>
    <row r="36" spans="1:18">
      <c r="A36" s="15" t="s">
        <v>378</v>
      </c>
      <c r="B36" s="17" t="n">
        <v>3332</v>
      </c>
      <c r="C36" s="18">
        <f>(2934.0/B36*100)</f>
        <v/>
      </c>
      <c r="D36" s="19" t="n">
        <v>398</v>
      </c>
      <c r="E36" s="18" t="n">
        <v>27.62163042</v>
      </c>
      <c r="F36" s="20" t="n">
        <v>2.49875598</v>
      </c>
      <c r="G36" s="18" t="n">
        <v>62.21009744</v>
      </c>
      <c r="H36" s="20" t="n">
        <v>2.58235302</v>
      </c>
      <c r="I36" s="18" t="s">
        <v>349</v>
      </c>
      <c r="J36" s="20" t="s">
        <v>349</v>
      </c>
      <c r="K36" s="18" t="n">
        <v>0.51993938</v>
      </c>
      <c r="L36" s="20" t="n">
        <v>0.39538271</v>
      </c>
      <c r="M36" s="18" t="n">
        <v>0</v>
      </c>
      <c r="N36" s="20" t="n">
        <v>0</v>
      </c>
      <c r="O36" s="18" t="n">
        <v>0</v>
      </c>
      <c r="P36" s="20" t="n">
        <v>0</v>
      </c>
      <c r="Q36" s="18" t="n">
        <v>9.64833275</v>
      </c>
      <c r="R36" s="20" t="n">
        <v>1.83869504</v>
      </c>
    </row>
    <row r="37" spans="1:18">
      <c r="A37" s="15" t="s">
        <v>379</v>
      </c>
      <c r="B37" s="17" t="n">
        <v>2727</v>
      </c>
      <c r="C37" s="18">
        <f>(2401.0/B37*100)</f>
        <v/>
      </c>
      <c r="D37" s="19" t="n">
        <v>326</v>
      </c>
      <c r="E37" s="18" t="n">
        <v>30.32307584</v>
      </c>
      <c r="F37" s="20" t="n">
        <v>2.76686158</v>
      </c>
      <c r="G37" s="18" t="n">
        <v>62.31105259</v>
      </c>
      <c r="H37" s="20" t="n">
        <v>2.74310667</v>
      </c>
      <c r="I37" s="18" t="s">
        <v>349</v>
      </c>
      <c r="J37" s="20" t="s">
        <v>349</v>
      </c>
      <c r="K37" s="18" t="n">
        <v>0.85414121</v>
      </c>
      <c r="L37" s="20" t="n">
        <v>0.49024931</v>
      </c>
      <c r="M37" s="18" t="n">
        <v>0</v>
      </c>
      <c r="N37" s="20" t="n">
        <v>0</v>
      </c>
      <c r="O37" s="18" t="n">
        <v>0</v>
      </c>
      <c r="P37" s="20" t="n">
        <v>0</v>
      </c>
      <c r="Q37" s="18" t="n">
        <v>6.51173036</v>
      </c>
      <c r="R37" s="20" t="n">
        <v>1.45517222</v>
      </c>
    </row>
    <row r="38" spans="1:18">
      <c r="A38" s="15" t="s">
        <v>380</v>
      </c>
      <c r="B38" s="17" t="n">
        <v>3053</v>
      </c>
      <c r="C38" s="18">
        <f>(2556.0/B38*100)</f>
        <v/>
      </c>
      <c r="D38" s="19" t="n">
        <v>497</v>
      </c>
      <c r="E38" s="18" t="n">
        <v>30.81643074</v>
      </c>
      <c r="F38" s="20" t="n">
        <v>2.04633814</v>
      </c>
      <c r="G38" s="18" t="n">
        <v>62.56015218</v>
      </c>
      <c r="H38" s="20" t="n">
        <v>2.08788349</v>
      </c>
      <c r="I38" s="18" t="s">
        <v>349</v>
      </c>
      <c r="J38" s="20" t="s">
        <v>349</v>
      </c>
      <c r="K38" s="18" t="n">
        <v>1.0144192</v>
      </c>
      <c r="L38" s="20" t="n">
        <v>0.45987157</v>
      </c>
      <c r="M38" s="18" t="n">
        <v>0</v>
      </c>
      <c r="N38" s="20" t="n">
        <v>0</v>
      </c>
      <c r="O38" s="18" t="n">
        <v>0</v>
      </c>
      <c r="P38" s="20" t="n">
        <v>0</v>
      </c>
      <c r="Q38" s="18" t="n">
        <v>5.60899788</v>
      </c>
      <c r="R38" s="20" t="n">
        <v>1.22139739</v>
      </c>
    </row>
    <row r="39" spans="1:18">
      <c r="A39" s="15" t="s">
        <v>381</v>
      </c>
      <c r="B39" s="17" t="n">
        <v>2957</v>
      </c>
      <c r="C39" s="18">
        <f>(2598.0/B39*100)</f>
        <v/>
      </c>
      <c r="D39" s="19" t="n">
        <v>359</v>
      </c>
      <c r="E39" s="18" t="n">
        <v>39.81719927</v>
      </c>
      <c r="F39" s="20" t="n">
        <v>2.97683097</v>
      </c>
      <c r="G39" s="18" t="n">
        <v>46.31328741</v>
      </c>
      <c r="H39" s="20" t="n">
        <v>2.80225651</v>
      </c>
      <c r="I39" s="18" t="s">
        <v>349</v>
      </c>
      <c r="J39" s="20" t="s">
        <v>349</v>
      </c>
      <c r="K39" s="18" t="n">
        <v>0.50563959</v>
      </c>
      <c r="L39" s="20" t="n">
        <v>0.30241033</v>
      </c>
      <c r="M39" s="18" t="n">
        <v>0.07902569</v>
      </c>
      <c r="N39" s="20" t="n">
        <v>0.11282311</v>
      </c>
      <c r="O39" s="18" t="n">
        <v>0</v>
      </c>
      <c r="P39" s="20" t="n">
        <v>0</v>
      </c>
      <c r="Q39" s="18" t="n">
        <v>13.28484804</v>
      </c>
      <c r="R39" s="20" t="n">
        <v>2.07536979</v>
      </c>
    </row>
    <row r="40" spans="1:18">
      <c r="A40" s="15" t="s">
        <v>382</v>
      </c>
      <c r="B40" s="17" t="n">
        <v>7235</v>
      </c>
      <c r="C40" s="18">
        <f>(6331.0/B40*100)</f>
        <v/>
      </c>
      <c r="D40" s="19" t="n">
        <v>904</v>
      </c>
      <c r="E40" s="18" t="n">
        <v>27.41123488</v>
      </c>
      <c r="F40" s="20" t="n">
        <v>2.42241437</v>
      </c>
      <c r="G40" s="18" t="n">
        <v>64.85127593</v>
      </c>
      <c r="H40" s="20" t="n">
        <v>2.42561156</v>
      </c>
      <c r="I40" s="18" t="s">
        <v>349</v>
      </c>
      <c r="J40" s="20" t="s">
        <v>349</v>
      </c>
      <c r="K40" s="18" t="n">
        <v>0.60221108</v>
      </c>
      <c r="L40" s="20" t="n">
        <v>0.33526284</v>
      </c>
      <c r="M40" s="18" t="n">
        <v>0.27265257</v>
      </c>
      <c r="N40" s="20" t="n">
        <v>0.26209682</v>
      </c>
      <c r="O40" s="18" t="n">
        <v>0</v>
      </c>
      <c r="P40" s="20" t="n">
        <v>0</v>
      </c>
      <c r="Q40" s="18" t="n">
        <v>6.86262554</v>
      </c>
      <c r="R40" s="20" t="n">
        <v>1.37697549</v>
      </c>
    </row>
    <row r="41" spans="1:18">
      <c r="A41" s="15" t="s">
        <v>383</v>
      </c>
      <c r="B41" s="17" t="n">
        <v>2858</v>
      </c>
      <c r="C41" s="18">
        <f>(2481.0/B41*100)</f>
        <v/>
      </c>
      <c r="D41" s="19" t="n">
        <v>377</v>
      </c>
      <c r="E41" s="18" t="n">
        <v>38.07568255</v>
      </c>
      <c r="F41" s="20" t="n">
        <v>3.12480154</v>
      </c>
      <c r="G41" s="18" t="n">
        <v>58.49065553</v>
      </c>
      <c r="H41" s="20" t="n">
        <v>3.16981658</v>
      </c>
      <c r="I41" s="18" t="s">
        <v>349</v>
      </c>
      <c r="J41" s="20" t="s">
        <v>349</v>
      </c>
      <c r="K41" s="18" t="n">
        <v>0.20243958</v>
      </c>
      <c r="L41" s="20" t="n">
        <v>0.21075893</v>
      </c>
      <c r="M41" s="18" t="n">
        <v>0</v>
      </c>
      <c r="N41" s="20" t="n">
        <v>0</v>
      </c>
      <c r="O41" s="18" t="n">
        <v>0</v>
      </c>
      <c r="P41" s="20" t="n">
        <v>0</v>
      </c>
      <c r="Q41" s="18" t="n">
        <v>3.23122234</v>
      </c>
      <c r="R41" s="20" t="n">
        <v>1.14030221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(9925.0/B46*100)</f>
        <v/>
      </c>
      <c r="D46" s="19" t="n">
        <v>1143</v>
      </c>
      <c r="E46" s="18" t="n">
        <v>43.5757712</v>
      </c>
      <c r="F46" s="20" t="n">
        <v>1.79970885</v>
      </c>
      <c r="G46" s="18" t="n">
        <v>39.86530923</v>
      </c>
      <c r="H46" s="20" t="n">
        <v>1.67255316</v>
      </c>
      <c r="I46" s="18" t="s">
        <v>349</v>
      </c>
      <c r="J46" s="20" t="s">
        <v>349</v>
      </c>
      <c r="K46" s="18" t="n">
        <v>1.2607018</v>
      </c>
      <c r="L46" s="20" t="n">
        <v>0.49016203</v>
      </c>
      <c r="M46" s="18" t="n">
        <v>0.23118437</v>
      </c>
      <c r="N46" s="20" t="n">
        <v>0.17638491</v>
      </c>
      <c r="O46" s="18" t="n">
        <v>0</v>
      </c>
      <c r="P46" s="20" t="n">
        <v>0</v>
      </c>
      <c r="Q46" s="18" t="n">
        <v>15.06703341</v>
      </c>
      <c r="R46" s="20" t="n">
        <v>1.49627802</v>
      </c>
    </row>
    <row r="47" spans="1:18">
      <c r="A47" s="15" t="s">
        <v>389</v>
      </c>
      <c r="B47" s="17" t="n">
        <v>3105</v>
      </c>
      <c r="C47" s="18">
        <f>(2714.0/B47*100)</f>
        <v/>
      </c>
      <c r="D47" s="19" t="n">
        <v>391</v>
      </c>
      <c r="E47" s="18" t="n">
        <v>35.94163911</v>
      </c>
      <c r="F47" s="20" t="n">
        <v>3.07552759</v>
      </c>
      <c r="G47" s="18" t="n">
        <v>44.55595003</v>
      </c>
      <c r="H47" s="20" t="n">
        <v>3.22357108</v>
      </c>
      <c r="I47" s="18" t="s">
        <v>349</v>
      </c>
      <c r="J47" s="20" t="s">
        <v>349</v>
      </c>
      <c r="K47" s="18" t="n">
        <v>0.76565222</v>
      </c>
      <c r="L47" s="20" t="n">
        <v>0.43023987</v>
      </c>
      <c r="M47" s="18" t="n">
        <v>0</v>
      </c>
      <c r="N47" s="20" t="n">
        <v>0</v>
      </c>
      <c r="O47" s="18" t="n">
        <v>0</v>
      </c>
      <c r="P47" s="20" t="n">
        <v>0</v>
      </c>
      <c r="Q47" s="18" t="n">
        <v>18.73675864</v>
      </c>
      <c r="R47" s="20" t="n">
        <v>2.07322848</v>
      </c>
    </row>
    <row r="48" spans="1:18">
      <c r="A48" s="15" t="s">
        <v>390</v>
      </c>
      <c r="B48" s="17" t="n">
        <v>5159</v>
      </c>
      <c r="C48" s="18">
        <f>(4541.0/B48*100)</f>
        <v/>
      </c>
      <c r="D48" s="19" t="n">
        <v>618</v>
      </c>
      <c r="E48" s="18" t="n">
        <v>29.67982167</v>
      </c>
      <c r="F48" s="20" t="n">
        <v>2.13158493</v>
      </c>
      <c r="G48" s="18" t="n">
        <v>65.79476163</v>
      </c>
      <c r="H48" s="20" t="n">
        <v>2.15644772</v>
      </c>
      <c r="I48" s="18" t="s">
        <v>349</v>
      </c>
      <c r="J48" s="20" t="s">
        <v>349</v>
      </c>
      <c r="K48" s="18" t="n">
        <v>0.79860833</v>
      </c>
      <c r="L48" s="20" t="n">
        <v>0.47814023</v>
      </c>
      <c r="M48" s="18" t="n">
        <v>0</v>
      </c>
      <c r="N48" s="20" t="n">
        <v>0</v>
      </c>
      <c r="O48" s="18" t="n">
        <v>0</v>
      </c>
      <c r="P48" s="20" t="n">
        <v>0</v>
      </c>
      <c r="Q48" s="18" t="n">
        <v>3.72680837</v>
      </c>
      <c r="R48" s="20" t="n">
        <v>0.94104123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(4968.0/B50*100)</f>
        <v/>
      </c>
      <c r="D50" s="19" t="n">
        <v>669</v>
      </c>
      <c r="E50" s="18" t="n">
        <v>58.07961211</v>
      </c>
      <c r="F50" s="20" t="n">
        <v>2.33529427</v>
      </c>
      <c r="G50" s="18" t="n">
        <v>36.34076237</v>
      </c>
      <c r="H50" s="20" t="n">
        <v>2.25566551</v>
      </c>
      <c r="I50" s="18" t="s">
        <v>349</v>
      </c>
      <c r="J50" s="20" t="s">
        <v>349</v>
      </c>
      <c r="K50" s="18" t="n">
        <v>1.03081081</v>
      </c>
      <c r="L50" s="20" t="n">
        <v>0.45412201</v>
      </c>
      <c r="M50" s="18" t="n">
        <v>0</v>
      </c>
      <c r="N50" s="20" t="n">
        <v>0</v>
      </c>
      <c r="O50" s="18" t="n">
        <v>0</v>
      </c>
      <c r="P50" s="20" t="n">
        <v>0</v>
      </c>
      <c r="Q50" s="18" t="n">
        <v>4.54881471</v>
      </c>
      <c r="R50" s="20" t="n">
        <v>1.03878143</v>
      </c>
    </row>
    <row r="51" spans="1:18">
      <c r="A51" s="15" t="s">
        <v>393</v>
      </c>
      <c r="B51" s="17" t="n">
        <v>3372</v>
      </c>
      <c r="C51" s="18">
        <f>(3003.0/B51*100)</f>
        <v/>
      </c>
      <c r="D51" s="19" t="n">
        <v>369</v>
      </c>
      <c r="E51" s="18" t="n">
        <v>41.02471889</v>
      </c>
      <c r="F51" s="20" t="n">
        <v>2.53081734</v>
      </c>
      <c r="G51" s="18" t="n">
        <v>49.08002405</v>
      </c>
      <c r="H51" s="20" t="n">
        <v>2.96348487</v>
      </c>
      <c r="I51" s="18" t="s">
        <v>349</v>
      </c>
      <c r="J51" s="20" t="s">
        <v>349</v>
      </c>
      <c r="K51" s="18" t="n">
        <v>1.16009874</v>
      </c>
      <c r="L51" s="20" t="n">
        <v>0.69638656</v>
      </c>
      <c r="M51" s="18" t="n">
        <v>0</v>
      </c>
      <c r="N51" s="20" t="n">
        <v>0</v>
      </c>
      <c r="O51" s="18" t="n">
        <v>0</v>
      </c>
      <c r="P51" s="20" t="n">
        <v>0</v>
      </c>
      <c r="Q51" s="18" t="n">
        <v>8.73515832</v>
      </c>
      <c r="R51" s="20" t="n">
        <v>1.62724191</v>
      </c>
    </row>
    <row r="52" spans="1:18">
      <c r="A52" s="15" t="s">
        <v>394</v>
      </c>
      <c r="B52" s="17" t="n">
        <v>2796</v>
      </c>
      <c r="C52" s="18">
        <f>(2432.0/B52*100)</f>
        <v/>
      </c>
      <c r="D52" s="19" t="n">
        <v>364</v>
      </c>
      <c r="E52" s="18" t="n">
        <v>27.09305059</v>
      </c>
      <c r="F52" s="20" t="n">
        <v>2.33990866</v>
      </c>
      <c r="G52" s="18" t="n">
        <v>55.16408331</v>
      </c>
      <c r="H52" s="20" t="n">
        <v>2.47900261</v>
      </c>
      <c r="I52" s="18" t="s">
        <v>349</v>
      </c>
      <c r="J52" s="20" t="s">
        <v>349</v>
      </c>
      <c r="K52" s="18" t="n">
        <v>0.56990436</v>
      </c>
      <c r="L52" s="20" t="n">
        <v>0.44374297</v>
      </c>
      <c r="M52" s="18" t="n">
        <v>0</v>
      </c>
      <c r="N52" s="20" t="n">
        <v>0</v>
      </c>
      <c r="O52" s="18" t="n">
        <v>0</v>
      </c>
      <c r="P52" s="20" t="n">
        <v>0</v>
      </c>
      <c r="Q52" s="18" t="n">
        <v>17.17296174</v>
      </c>
      <c r="R52" s="20" t="n">
        <v>1.93761109</v>
      </c>
    </row>
    <row r="53" spans="1:18">
      <c r="A53" s="15" t="s">
        <v>395</v>
      </c>
      <c r="B53" s="17" t="n">
        <v>2811</v>
      </c>
      <c r="C53" s="18">
        <f>(2456.0/B53*100)</f>
        <v/>
      </c>
      <c r="D53" s="19" t="n">
        <v>355</v>
      </c>
      <c r="E53" s="18" t="n">
        <v>34.19960923</v>
      </c>
      <c r="F53" s="20" t="n">
        <v>2.48830694</v>
      </c>
      <c r="G53" s="18" t="n">
        <v>49.87118865</v>
      </c>
      <c r="H53" s="20" t="n">
        <v>2.47143389</v>
      </c>
      <c r="I53" s="18" t="s">
        <v>349</v>
      </c>
      <c r="J53" s="20" t="s">
        <v>349</v>
      </c>
      <c r="K53" s="18" t="n">
        <v>0.380769</v>
      </c>
      <c r="L53" s="20" t="n">
        <v>0.26873424</v>
      </c>
      <c r="M53" s="18" t="n">
        <v>0</v>
      </c>
      <c r="N53" s="20" t="n">
        <v>0</v>
      </c>
      <c r="O53" s="18" t="n">
        <v>0</v>
      </c>
      <c r="P53" s="20" t="n">
        <v>0</v>
      </c>
      <c r="Q53" s="18" t="n">
        <v>15.54843312</v>
      </c>
      <c r="R53" s="20" t="n">
        <v>2.08300358</v>
      </c>
    </row>
    <row r="54" spans="1:18">
      <c r="A54" s="15" t="s">
        <v>396</v>
      </c>
      <c r="B54" s="17" t="n">
        <v>2266</v>
      </c>
      <c r="C54" s="18">
        <f>(1908.0/B54*100)</f>
        <v/>
      </c>
      <c r="D54" s="19" t="n">
        <v>358</v>
      </c>
      <c r="E54" s="18" t="n">
        <v>51.45365516</v>
      </c>
      <c r="F54" s="20" t="n">
        <v>3.19250119</v>
      </c>
      <c r="G54" s="18" t="n">
        <v>18.06823739</v>
      </c>
      <c r="H54" s="20" t="n">
        <v>2.13458291</v>
      </c>
      <c r="I54" s="18" t="s">
        <v>349</v>
      </c>
      <c r="J54" s="20" t="s">
        <v>349</v>
      </c>
      <c r="K54" s="18" t="n">
        <v>8.84339389</v>
      </c>
      <c r="L54" s="20" t="n">
        <v>1.70549255</v>
      </c>
      <c r="M54" s="18" t="n">
        <v>0.53587821</v>
      </c>
      <c r="N54" s="20" t="n">
        <v>0.37307394</v>
      </c>
      <c r="O54" s="18" t="n">
        <v>0</v>
      </c>
      <c r="P54" s="20" t="n">
        <v>0</v>
      </c>
      <c r="Q54" s="18" t="n">
        <v>21.09883537</v>
      </c>
      <c r="R54" s="20" t="n">
        <v>2.73638515</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(2354.0/B56*100)</f>
        <v/>
      </c>
      <c r="D56" s="19" t="n">
        <v>330</v>
      </c>
      <c r="E56" s="18" t="n">
        <v>24.72309738</v>
      </c>
      <c r="F56" s="20" t="n">
        <v>2.33917848</v>
      </c>
      <c r="G56" s="18" t="n">
        <v>72.85868558</v>
      </c>
      <c r="H56" s="20" t="n">
        <v>2.41737587</v>
      </c>
      <c r="I56" s="18" t="s">
        <v>349</v>
      </c>
      <c r="J56" s="20" t="s">
        <v>349</v>
      </c>
      <c r="K56" s="18" t="n">
        <v>0.24665304</v>
      </c>
      <c r="L56" s="20" t="n">
        <v>0.25154053</v>
      </c>
      <c r="M56" s="18" t="n">
        <v>0</v>
      </c>
      <c r="N56" s="20" t="n">
        <v>0</v>
      </c>
      <c r="O56" s="18" t="n">
        <v>0</v>
      </c>
      <c r="P56" s="20" t="n">
        <v>0</v>
      </c>
      <c r="Q56" s="18" t="n">
        <v>2.171564</v>
      </c>
      <c r="R56" s="20" t="n">
        <v>0.69773917</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(2927.0/B61*100)</f>
        <v/>
      </c>
      <c r="D61" s="19" t="n">
        <v>397</v>
      </c>
      <c r="E61" s="18" t="n">
        <v>23.99137562</v>
      </c>
      <c r="F61" s="20" t="n">
        <v>2.82015617</v>
      </c>
      <c r="G61" s="18" t="n">
        <v>68.58497042</v>
      </c>
      <c r="H61" s="20" t="n">
        <v>3.05054278</v>
      </c>
      <c r="I61" s="18" t="s">
        <v>349</v>
      </c>
      <c r="J61" s="20" t="s">
        <v>349</v>
      </c>
      <c r="K61" s="18" t="n">
        <v>0.31308351</v>
      </c>
      <c r="L61" s="20" t="n">
        <v>0.31264364</v>
      </c>
      <c r="M61" s="18" t="n">
        <v>0</v>
      </c>
      <c r="N61" s="20" t="n">
        <v>0</v>
      </c>
      <c r="O61" s="18" t="n">
        <v>0</v>
      </c>
      <c r="P61" s="20" t="n">
        <v>0</v>
      </c>
      <c r="Q61" s="18" t="n">
        <v>7.11057045</v>
      </c>
      <c r="R61" s="20" t="n">
        <v>1.31868033</v>
      </c>
    </row>
    <row r="62" spans="1:18">
      <c r="A62" s="15" t="s">
        <v>404</v>
      </c>
      <c r="B62" s="17" t="n">
        <v>2246</v>
      </c>
      <c r="C62" s="18">
        <f>(1969.0/B62*100)</f>
        <v/>
      </c>
      <c r="D62" s="19" t="n">
        <v>277</v>
      </c>
      <c r="E62" s="18" t="n">
        <v>26.36309994</v>
      </c>
      <c r="F62" s="20" t="n">
        <v>2.74642245</v>
      </c>
      <c r="G62" s="18" t="n">
        <v>73.27871740000001</v>
      </c>
      <c r="H62" s="20" t="n">
        <v>2.82557808</v>
      </c>
      <c r="I62" s="18" t="s">
        <v>349</v>
      </c>
      <c r="J62" s="20" t="s">
        <v>349</v>
      </c>
      <c r="K62" s="18" t="n">
        <v>0</v>
      </c>
      <c r="L62" s="20" t="n">
        <v>0</v>
      </c>
      <c r="M62" s="18" t="n">
        <v>0</v>
      </c>
      <c r="N62" s="20" t="n">
        <v>0</v>
      </c>
      <c r="O62" s="18" t="n">
        <v>0</v>
      </c>
      <c r="P62" s="20" t="n">
        <v>0</v>
      </c>
      <c r="Q62" s="18" t="n">
        <v>0.35818266</v>
      </c>
      <c r="R62" s="20" t="n">
        <v>0.35388901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(2543.0/B66*100)</f>
        <v/>
      </c>
      <c r="D66" s="19" t="n">
        <v>351</v>
      </c>
      <c r="E66" s="18" t="n">
        <v>24.51549203</v>
      </c>
      <c r="F66" s="20" t="n">
        <v>2.22807045</v>
      </c>
      <c r="G66" s="18" t="n">
        <v>46.848487</v>
      </c>
      <c r="H66" s="20" t="n">
        <v>2.68828517</v>
      </c>
      <c r="I66" s="18" t="s">
        <v>349</v>
      </c>
      <c r="J66" s="20" t="s">
        <v>349</v>
      </c>
      <c r="K66" s="18" t="n">
        <v>0.78557618</v>
      </c>
      <c r="L66" s="20" t="n">
        <v>0.45573642</v>
      </c>
      <c r="M66" s="18" t="n">
        <v>0.24976515</v>
      </c>
      <c r="N66" s="20" t="n">
        <v>0.25080034</v>
      </c>
      <c r="O66" s="18" t="n">
        <v>0</v>
      </c>
      <c r="P66" s="20" t="n">
        <v>0</v>
      </c>
      <c r="Q66" s="18" t="n">
        <v>27.60067964</v>
      </c>
      <c r="R66" s="20" t="n">
        <v>2.7412814</v>
      </c>
    </row>
    <row r="67" spans="1:18">
      <c r="A67" s="15" t="s">
        <v>409</v>
      </c>
      <c r="B67" s="17" t="n">
        <v>3511</v>
      </c>
      <c r="C67" s="18">
        <f>(3108.0/B67*100)</f>
        <v/>
      </c>
      <c r="D67" s="19" t="n">
        <v>403</v>
      </c>
      <c r="E67" s="18" t="n">
        <v>46.79726254</v>
      </c>
      <c r="F67" s="20" t="n">
        <v>2.95588563</v>
      </c>
      <c r="G67" s="18" t="n">
        <v>40.90325065</v>
      </c>
      <c r="H67" s="20" t="n">
        <v>2.7163312</v>
      </c>
      <c r="I67" s="18" t="s">
        <v>349</v>
      </c>
      <c r="J67" s="20" t="s">
        <v>349</v>
      </c>
      <c r="K67" s="18" t="n">
        <v>0.19697716</v>
      </c>
      <c r="L67" s="20" t="n">
        <v>0.20279038</v>
      </c>
      <c r="M67" s="18" t="n">
        <v>0</v>
      </c>
      <c r="N67" s="20" t="n">
        <v>0</v>
      </c>
      <c r="O67" s="18" t="n">
        <v>0</v>
      </c>
      <c r="P67" s="20" t="n">
        <v>0</v>
      </c>
      <c r="Q67" s="18" t="n">
        <v>12.10250965</v>
      </c>
      <c r="R67" s="20" t="n">
        <v>1.86031879</v>
      </c>
    </row>
    <row r="68" spans="1:18">
      <c r="A68" s="15" t="s">
        <v>410</v>
      </c>
      <c r="B68" s="17" t="n">
        <v>6049</v>
      </c>
      <c r="C68" s="18">
        <f>(5057.0/B68*100)</f>
        <v/>
      </c>
      <c r="D68" s="19" t="n">
        <v>992</v>
      </c>
      <c r="E68" s="18" t="n">
        <v>44.06254038</v>
      </c>
      <c r="F68" s="20" t="n">
        <v>1.49168004</v>
      </c>
      <c r="G68" s="18" t="n">
        <v>41.64979115</v>
      </c>
      <c r="H68" s="20" t="n">
        <v>1.3861726</v>
      </c>
      <c r="I68" s="18" t="s">
        <v>349</v>
      </c>
      <c r="J68" s="20" t="s">
        <v>349</v>
      </c>
      <c r="K68" s="18" t="n">
        <v>2.76899114</v>
      </c>
      <c r="L68" s="20" t="n">
        <v>0.5021034</v>
      </c>
      <c r="M68" s="18" t="n">
        <v>0.20547398</v>
      </c>
      <c r="N68" s="20" t="n">
        <v>0.14683715</v>
      </c>
      <c r="O68" s="18" t="n">
        <v>0</v>
      </c>
      <c r="P68" s="20" t="n">
        <v>0</v>
      </c>
      <c r="Q68" s="18" t="n">
        <v>11.31320334</v>
      </c>
      <c r="R68" s="20" t="n">
        <v>0.99083473</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(2553.0/B70*100)</f>
        <v/>
      </c>
      <c r="D70" s="19" t="n">
        <v>376</v>
      </c>
      <c r="E70" s="18" t="n">
        <v>26.17595167</v>
      </c>
      <c r="F70" s="20" t="n">
        <v>2.56585795</v>
      </c>
      <c r="G70" s="18" t="n">
        <v>67.14808873</v>
      </c>
      <c r="H70" s="20" t="n">
        <v>2.51579241</v>
      </c>
      <c r="I70" s="18" t="s">
        <v>349</v>
      </c>
      <c r="J70" s="20" t="s">
        <v>349</v>
      </c>
      <c r="K70" s="18" t="n">
        <v>0.17208629</v>
      </c>
      <c r="L70" s="20" t="n">
        <v>0.17429666</v>
      </c>
      <c r="M70" s="18" t="n">
        <v>1.27408743</v>
      </c>
      <c r="N70" s="20" t="n">
        <v>0.6046541</v>
      </c>
      <c r="O70" s="18" t="n">
        <v>0</v>
      </c>
      <c r="P70" s="20" t="n">
        <v>0</v>
      </c>
      <c r="Q70" s="18" t="n">
        <v>5.22978588</v>
      </c>
      <c r="R70" s="20" t="n">
        <v>1.31345121</v>
      </c>
    </row>
    <row r="71" spans="1:18">
      <c r="A71" s="15" t="s">
        <v>413</v>
      </c>
      <c r="B71" s="17" t="n">
        <v>3142</v>
      </c>
      <c r="C71" s="18">
        <f>(2745.0/B71*100)</f>
        <v/>
      </c>
      <c r="D71" s="19" t="n">
        <v>397</v>
      </c>
      <c r="E71" s="18" t="n">
        <v>22.15638617</v>
      </c>
      <c r="F71" s="20" t="n">
        <v>2.19461778</v>
      </c>
      <c r="G71" s="18" t="n">
        <v>75.66032298</v>
      </c>
      <c r="H71" s="20" t="n">
        <v>2.19414977</v>
      </c>
      <c r="I71" s="18" t="s">
        <v>349</v>
      </c>
      <c r="J71" s="20" t="s">
        <v>349</v>
      </c>
      <c r="K71" s="18" t="n">
        <v>0.29721103</v>
      </c>
      <c r="L71" s="20" t="n">
        <v>0.29678046</v>
      </c>
      <c r="M71" s="18" t="n">
        <v>0</v>
      </c>
      <c r="N71" s="20" t="n">
        <v>0</v>
      </c>
      <c r="O71" s="18" t="n">
        <v>0</v>
      </c>
      <c r="P71" s="20" t="n">
        <v>0</v>
      </c>
      <c r="Q71" s="18" t="n">
        <v>1.88607982</v>
      </c>
      <c r="R71" s="20" t="n">
        <v>0.6069496599999999</v>
      </c>
    </row>
    <row r="72" spans="1:18">
      <c r="A72" s="15" t="s">
        <v>414</v>
      </c>
      <c r="B72" s="17" t="n">
        <v>3889</v>
      </c>
      <c r="C72" s="18">
        <f>(3400.0/B72*100)</f>
        <v/>
      </c>
      <c r="D72" s="19" t="n">
        <v>489</v>
      </c>
      <c r="E72" s="18" t="n">
        <v>16.34533465</v>
      </c>
      <c r="F72" s="20" t="n">
        <v>1.79898382</v>
      </c>
      <c r="G72" s="18" t="n">
        <v>76.66513157</v>
      </c>
      <c r="H72" s="20" t="n">
        <v>2.10945716</v>
      </c>
      <c r="I72" s="18" t="s">
        <v>349</v>
      </c>
      <c r="J72" s="20" t="s">
        <v>349</v>
      </c>
      <c r="K72" s="18" t="n">
        <v>0.13802749</v>
      </c>
      <c r="L72" s="20" t="n">
        <v>0.13989785</v>
      </c>
      <c r="M72" s="18" t="n">
        <v>0</v>
      </c>
      <c r="N72" s="20" t="n">
        <v>0</v>
      </c>
      <c r="O72" s="18" t="n">
        <v>0</v>
      </c>
      <c r="P72" s="20" t="n">
        <v>0</v>
      </c>
      <c r="Q72" s="18" t="n">
        <v>6.85150629</v>
      </c>
      <c r="R72" s="20" t="n">
        <v>1.20097825</v>
      </c>
    </row>
    <row r="73" spans="1:18">
      <c r="A73" s="15" t="s">
        <v>415</v>
      </c>
      <c r="B73" s="17" t="n">
        <v>3597</v>
      </c>
      <c r="C73" s="18">
        <f>(3172.0/B73*100)</f>
        <v/>
      </c>
      <c r="D73" s="19" t="n">
        <v>425</v>
      </c>
      <c r="E73" s="18" t="n">
        <v>50.24396416</v>
      </c>
      <c r="F73" s="20" t="n">
        <v>3.19909769</v>
      </c>
      <c r="G73" s="18" t="n">
        <v>45.33902601</v>
      </c>
      <c r="H73" s="20" t="n">
        <v>2.85812828</v>
      </c>
      <c r="I73" s="18" t="s">
        <v>349</v>
      </c>
      <c r="J73" s="20" t="s">
        <v>349</v>
      </c>
      <c r="K73" s="18" t="n">
        <v>0</v>
      </c>
      <c r="L73" s="20" t="n">
        <v>0</v>
      </c>
      <c r="M73" s="18" t="n">
        <v>0</v>
      </c>
      <c r="N73" s="20" t="n">
        <v>0</v>
      </c>
      <c r="O73" s="18" t="n">
        <v>0</v>
      </c>
      <c r="P73" s="20" t="n">
        <v>0</v>
      </c>
      <c r="Q73" s="18" t="n">
        <v>4.41700983</v>
      </c>
      <c r="R73" s="20" t="n">
        <v>1.3188714</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(2146.0/B75*100)</f>
        <v/>
      </c>
      <c r="D75" s="19" t="n">
        <v>260</v>
      </c>
      <c r="E75" s="18" t="n">
        <v>49.91007894</v>
      </c>
      <c r="F75" s="20" t="n">
        <v>3.15764805</v>
      </c>
      <c r="G75" s="18" t="n">
        <v>25.68588833</v>
      </c>
      <c r="H75" s="20" t="n">
        <v>3.17831201</v>
      </c>
      <c r="I75" s="18" t="s">
        <v>349</v>
      </c>
      <c r="J75" s="20" t="s">
        <v>349</v>
      </c>
      <c r="K75" s="18" t="n">
        <v>3.71544566</v>
      </c>
      <c r="L75" s="20" t="n">
        <v>1.46348845</v>
      </c>
      <c r="M75" s="18" t="n">
        <v>0</v>
      </c>
      <c r="N75" s="20" t="n">
        <v>0</v>
      </c>
      <c r="O75" s="18" t="n">
        <v>0</v>
      </c>
      <c r="P75" s="20" t="n">
        <v>0</v>
      </c>
      <c r="Q75" s="18" t="n">
        <v>20.68858708</v>
      </c>
      <c r="R75" s="20" t="n">
        <v>2.73837203</v>
      </c>
    </row>
    <row r="76" spans="1:18">
      <c r="A76" s="15" t="s">
        <v>418</v>
      </c>
      <c r="B76" s="17" t="n">
        <v>7052</v>
      </c>
      <c r="C76" s="18">
        <f>(6199.0/B76*100)</f>
        <v/>
      </c>
      <c r="D76" s="19" t="n">
        <v>853</v>
      </c>
      <c r="E76" s="18" t="n">
        <v>45.04973404</v>
      </c>
      <c r="F76" s="20" t="n">
        <v>2.40132826</v>
      </c>
      <c r="G76" s="18" t="n">
        <v>47.7880456</v>
      </c>
      <c r="H76" s="20" t="n">
        <v>2.43867702</v>
      </c>
      <c r="I76" s="18" t="s">
        <v>349</v>
      </c>
      <c r="J76" s="20" t="s">
        <v>349</v>
      </c>
      <c r="K76" s="18" t="n">
        <v>1.00804435</v>
      </c>
      <c r="L76" s="20" t="n">
        <v>0.39875297</v>
      </c>
      <c r="M76" s="18" t="n">
        <v>0.11611684</v>
      </c>
      <c r="N76" s="20" t="n">
        <v>0.08514508</v>
      </c>
      <c r="O76" s="18" t="n">
        <v>0</v>
      </c>
      <c r="P76" s="20" t="n">
        <v>0</v>
      </c>
      <c r="Q76" s="18" t="n">
        <v>6.03805916</v>
      </c>
      <c r="R76" s="20" t="n">
        <v>1.11662198</v>
      </c>
    </row>
    <row r="77" spans="1:18">
      <c r="A77" s="15" t="s">
        <v>419</v>
      </c>
      <c r="B77" s="17" t="n">
        <v>2908</v>
      </c>
      <c r="C77" s="18">
        <f>(2564.0/B77*100)</f>
        <v/>
      </c>
      <c r="D77" s="19" t="n">
        <v>344</v>
      </c>
      <c r="E77" s="18" t="n">
        <v>33.70871329</v>
      </c>
      <c r="F77" s="20" t="n">
        <v>2.36404083</v>
      </c>
      <c r="G77" s="18" t="n">
        <v>47.14158511</v>
      </c>
      <c r="H77" s="20" t="n">
        <v>2.92838948</v>
      </c>
      <c r="I77" s="18" t="s">
        <v>349</v>
      </c>
      <c r="J77" s="20" t="s">
        <v>349</v>
      </c>
      <c r="K77" s="18" t="n">
        <v>1.51647369</v>
      </c>
      <c r="L77" s="20" t="n">
        <v>0.72338112</v>
      </c>
      <c r="M77" s="18" t="n">
        <v>0.33851134</v>
      </c>
      <c r="N77" s="20" t="n">
        <v>0.32454891</v>
      </c>
      <c r="O77" s="18" t="n">
        <v>0</v>
      </c>
      <c r="P77" s="20" t="n">
        <v>0</v>
      </c>
      <c r="Q77" s="18" t="n">
        <v>17.29471657</v>
      </c>
      <c r="R77" s="20" t="n">
        <v>2.57799264</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(3642.0/B81*100)</f>
        <v/>
      </c>
      <c r="D81" s="19" t="n">
        <v>521</v>
      </c>
      <c r="E81" s="18" t="n">
        <v>49.44579906</v>
      </c>
      <c r="F81" s="20" t="n">
        <v>2.39008188</v>
      </c>
      <c r="G81" s="18" t="n">
        <v>48.39237237</v>
      </c>
      <c r="H81" s="20" t="n">
        <v>2.47742056</v>
      </c>
      <c r="I81" s="18" t="s">
        <v>349</v>
      </c>
      <c r="J81" s="20" t="s">
        <v>349</v>
      </c>
      <c r="K81" s="18" t="n">
        <v>0</v>
      </c>
      <c r="L81" s="20" t="n">
        <v>0</v>
      </c>
      <c r="M81" s="18" t="n">
        <v>0</v>
      </c>
      <c r="N81" s="20" t="n">
        <v>0</v>
      </c>
      <c r="O81" s="18" t="n">
        <v>0</v>
      </c>
      <c r="P81" s="20" t="n">
        <v>0</v>
      </c>
      <c r="Q81" s="18" t="n">
        <v>2.16182856</v>
      </c>
      <c r="R81" s="20" t="n">
        <v>0.72403602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(6448.0/B7*100)</f>
        <v/>
      </c>
      <c r="D7" s="19" t="n">
        <v>919</v>
      </c>
      <c r="E7" s="18" t="n">
        <v>53.15393171</v>
      </c>
      <c r="F7" s="20" t="n">
        <v>2.1883945</v>
      </c>
      <c r="G7" s="18" t="n">
        <v>30.40062707</v>
      </c>
      <c r="H7" s="20" t="n">
        <v>1.91684622</v>
      </c>
      <c r="I7" s="18" t="s">
        <v>349</v>
      </c>
      <c r="J7" s="20" t="s">
        <v>349</v>
      </c>
      <c r="K7" s="18" t="n">
        <v>0.89381086</v>
      </c>
      <c r="L7" s="20" t="n">
        <v>0.40309529</v>
      </c>
      <c r="M7" s="18" t="n">
        <v>0</v>
      </c>
      <c r="N7" s="20" t="n">
        <v>0</v>
      </c>
      <c r="O7" s="18" t="n">
        <v>0</v>
      </c>
      <c r="P7" s="20" t="n">
        <v>0</v>
      </c>
      <c r="Q7" s="18" t="n">
        <v>15.55163036</v>
      </c>
      <c r="R7" s="20" t="n">
        <v>1.31202692</v>
      </c>
    </row>
    <row r="8" spans="1:18">
      <c r="A8" s="15" t="s">
        <v>350</v>
      </c>
      <c r="B8" s="17" t="n">
        <v>3564</v>
      </c>
      <c r="C8" s="18">
        <f>(3128.0/B8*100)</f>
        <v/>
      </c>
      <c r="D8" s="19" t="n">
        <v>436</v>
      </c>
      <c r="E8" s="18" t="n">
        <v>53.45654941</v>
      </c>
      <c r="F8" s="20" t="n">
        <v>2.81074649</v>
      </c>
      <c r="G8" s="18" t="n">
        <v>32.83163432</v>
      </c>
      <c r="H8" s="20" t="n">
        <v>2.39748504</v>
      </c>
      <c r="I8" s="18" t="s">
        <v>349</v>
      </c>
      <c r="J8" s="20" t="s">
        <v>349</v>
      </c>
      <c r="K8" s="18" t="n">
        <v>0</v>
      </c>
      <c r="L8" s="20" t="n">
        <v>0</v>
      </c>
      <c r="M8" s="18" t="n">
        <v>0</v>
      </c>
      <c r="N8" s="20" t="n">
        <v>0</v>
      </c>
      <c r="O8" s="18" t="n">
        <v>0</v>
      </c>
      <c r="P8" s="20" t="n">
        <v>0</v>
      </c>
      <c r="Q8" s="18" t="n">
        <v>13.71181627</v>
      </c>
      <c r="R8" s="20" t="n">
        <v>2.34556127</v>
      </c>
    </row>
    <row r="9" spans="1:18">
      <c r="A9" s="15" t="s">
        <v>351</v>
      </c>
      <c r="B9" s="17" t="n">
        <v>4899</v>
      </c>
      <c r="C9" s="18">
        <f>(4338.0/B9*100)</f>
        <v/>
      </c>
      <c r="D9" s="19" t="n">
        <v>561</v>
      </c>
      <c r="E9" s="18" t="n">
        <v>45.33134982</v>
      </c>
      <c r="F9" s="20" t="n">
        <v>2.10704071</v>
      </c>
      <c r="G9" s="18" t="n">
        <v>39.59713945</v>
      </c>
      <c r="H9" s="20" t="n">
        <v>2.09194526</v>
      </c>
      <c r="I9" s="18" t="s">
        <v>349</v>
      </c>
      <c r="J9" s="20" t="s">
        <v>349</v>
      </c>
      <c r="K9" s="18" t="n">
        <v>0.45371813</v>
      </c>
      <c r="L9" s="20" t="n">
        <v>0.30918189</v>
      </c>
      <c r="M9" s="18" t="n">
        <v>0</v>
      </c>
      <c r="N9" s="20" t="n">
        <v>0</v>
      </c>
      <c r="O9" s="18" t="n">
        <v>0</v>
      </c>
      <c r="P9" s="20" t="n">
        <v>0</v>
      </c>
      <c r="Q9" s="18" t="n">
        <v>14.6177926</v>
      </c>
      <c r="R9" s="20" t="n">
        <v>1.50566193</v>
      </c>
    </row>
    <row r="10" spans="1:18">
      <c r="A10" s="15" t="s">
        <v>352</v>
      </c>
      <c r="B10" s="17" t="n">
        <v>10036</v>
      </c>
      <c r="C10" s="18">
        <f>(8829.0/B10*100)</f>
        <v/>
      </c>
      <c r="D10" s="19" t="n">
        <v>1207</v>
      </c>
      <c r="E10" s="18" t="n">
        <v>53.09687415</v>
      </c>
      <c r="F10" s="20" t="n">
        <v>1.96035621</v>
      </c>
      <c r="G10" s="18" t="n">
        <v>36.41356103</v>
      </c>
      <c r="H10" s="20" t="n">
        <v>1.81401534</v>
      </c>
      <c r="I10" s="18" t="s">
        <v>349</v>
      </c>
      <c r="J10" s="20" t="s">
        <v>349</v>
      </c>
      <c r="K10" s="18" t="n">
        <v>0.97117005</v>
      </c>
      <c r="L10" s="20" t="n">
        <v>0.33364404</v>
      </c>
      <c r="M10" s="18" t="n">
        <v>0</v>
      </c>
      <c r="N10" s="20" t="n">
        <v>0</v>
      </c>
      <c r="O10" s="18" t="n">
        <v>0</v>
      </c>
      <c r="P10" s="20" t="n">
        <v>0</v>
      </c>
      <c r="Q10" s="18" t="n">
        <v>9.51839477</v>
      </c>
      <c r="R10" s="20" t="n">
        <v>1.17126112</v>
      </c>
    </row>
    <row r="11" spans="1:18">
      <c r="A11" s="15" t="s">
        <v>353</v>
      </c>
      <c r="B11" s="17" t="n">
        <v>3553</v>
      </c>
      <c r="C11" s="18">
        <f>(3138.0/B11*100)</f>
        <v/>
      </c>
      <c r="D11" s="19" t="n">
        <v>415</v>
      </c>
      <c r="E11" s="18" t="n">
        <v>46.79313071</v>
      </c>
      <c r="F11" s="20" t="n">
        <v>2.55538853</v>
      </c>
      <c r="G11" s="18" t="n">
        <v>19.31721006</v>
      </c>
      <c r="H11" s="20" t="n">
        <v>1.70985279</v>
      </c>
      <c r="I11" s="18" t="s">
        <v>349</v>
      </c>
      <c r="J11" s="20" t="s">
        <v>349</v>
      </c>
      <c r="K11" s="18" t="n">
        <v>2.07339214</v>
      </c>
      <c r="L11" s="20" t="n">
        <v>0.94747602</v>
      </c>
      <c r="M11" s="18" t="n">
        <v>0</v>
      </c>
      <c r="N11" s="20" t="n">
        <v>0</v>
      </c>
      <c r="O11" s="18" t="n">
        <v>0</v>
      </c>
      <c r="P11" s="20" t="n">
        <v>0</v>
      </c>
      <c r="Q11" s="18" t="n">
        <v>31.81626709</v>
      </c>
      <c r="R11" s="20" t="n">
        <v>2.42566672</v>
      </c>
    </row>
    <row r="12" spans="1:18">
      <c r="A12" s="15" t="s">
        <v>354</v>
      </c>
      <c r="B12" s="17" t="n">
        <v>3472</v>
      </c>
      <c r="C12" s="18">
        <f>(3056.0/B12*100)</f>
        <v/>
      </c>
      <c r="D12" s="19" t="n">
        <v>416</v>
      </c>
      <c r="E12" s="18" t="n">
        <v>52.53299931</v>
      </c>
      <c r="F12" s="20" t="n">
        <v>2.37712127</v>
      </c>
      <c r="G12" s="18" t="n">
        <v>34.8890679</v>
      </c>
      <c r="H12" s="20" t="n">
        <v>2.8200355</v>
      </c>
      <c r="I12" s="18" t="s">
        <v>349</v>
      </c>
      <c r="J12" s="20" t="s">
        <v>349</v>
      </c>
      <c r="K12" s="18" t="n">
        <v>0</v>
      </c>
      <c r="L12" s="20" t="n">
        <v>0</v>
      </c>
      <c r="M12" s="18" t="n">
        <v>0</v>
      </c>
      <c r="N12" s="20" t="n">
        <v>0</v>
      </c>
      <c r="O12" s="18" t="n">
        <v>0</v>
      </c>
      <c r="P12" s="20" t="n">
        <v>0</v>
      </c>
      <c r="Q12" s="18" t="n">
        <v>12.5779328</v>
      </c>
      <c r="R12" s="20" t="n">
        <v>1.74934615</v>
      </c>
    </row>
    <row r="13" spans="1:18">
      <c r="A13" s="15" t="s">
        <v>355</v>
      </c>
      <c r="B13" s="17" t="n">
        <v>3559</v>
      </c>
      <c r="C13" s="18">
        <f>(3141.0/B13*100)</f>
        <v/>
      </c>
      <c r="D13" s="19" t="n">
        <v>418</v>
      </c>
      <c r="E13" s="18" t="n">
        <v>51.1086783</v>
      </c>
      <c r="F13" s="20" t="n">
        <v>2.55907097</v>
      </c>
      <c r="G13" s="18" t="n">
        <v>35.70374873</v>
      </c>
      <c r="H13" s="20" t="n">
        <v>2.40729862</v>
      </c>
      <c r="I13" s="18" t="s">
        <v>349</v>
      </c>
      <c r="J13" s="20" t="s">
        <v>349</v>
      </c>
      <c r="K13" s="18" t="n">
        <v>0.70181322</v>
      </c>
      <c r="L13" s="20" t="n">
        <v>0.58628777</v>
      </c>
      <c r="M13" s="18" t="n">
        <v>0</v>
      </c>
      <c r="N13" s="20" t="n">
        <v>0</v>
      </c>
      <c r="O13" s="18" t="n">
        <v>0</v>
      </c>
      <c r="P13" s="20" t="n">
        <v>0</v>
      </c>
      <c r="Q13" s="18" t="n">
        <v>12.48575975</v>
      </c>
      <c r="R13" s="20" t="n">
        <v>1.80452264</v>
      </c>
    </row>
    <row r="14" spans="1:18">
      <c r="A14" s="15" t="s">
        <v>356</v>
      </c>
      <c r="B14" s="17" t="n">
        <v>2799</v>
      </c>
      <c r="C14" s="18">
        <f>(2478.0/B14*100)</f>
        <v/>
      </c>
      <c r="D14" s="19" t="n">
        <v>321</v>
      </c>
      <c r="E14" s="18" t="n">
        <v>49.72081335</v>
      </c>
      <c r="F14" s="20" t="n">
        <v>3.00131698</v>
      </c>
      <c r="G14" s="18" t="n">
        <v>41.05034002</v>
      </c>
      <c r="H14" s="20" t="n">
        <v>3.1048675</v>
      </c>
      <c r="I14" s="18" t="s">
        <v>349</v>
      </c>
      <c r="J14" s="20" t="s">
        <v>349</v>
      </c>
      <c r="K14" s="18" t="n">
        <v>1.06770463</v>
      </c>
      <c r="L14" s="20" t="n">
        <v>1.15357634</v>
      </c>
      <c r="M14" s="18" t="n">
        <v>0</v>
      </c>
      <c r="N14" s="20" t="n">
        <v>0</v>
      </c>
      <c r="O14" s="18" t="n">
        <v>0</v>
      </c>
      <c r="P14" s="20" t="n">
        <v>0</v>
      </c>
      <c r="Q14" s="18" t="n">
        <v>8.161142010000001</v>
      </c>
      <c r="R14" s="20" t="n">
        <v>1.52878124</v>
      </c>
    </row>
    <row r="15" spans="1:18">
      <c r="A15" s="15" t="s">
        <v>357</v>
      </c>
      <c r="B15" s="17" t="n">
        <v>3019</v>
      </c>
      <c r="C15" s="18">
        <f>(2650.0/B15*100)</f>
        <v/>
      </c>
      <c r="D15" s="19" t="n">
        <v>369</v>
      </c>
      <c r="E15" s="18" t="n">
        <v>50.8276</v>
      </c>
      <c r="F15" s="20" t="n">
        <v>2.79750707</v>
      </c>
      <c r="G15" s="18" t="n">
        <v>36.43513131</v>
      </c>
      <c r="H15" s="20" t="n">
        <v>2.92135135</v>
      </c>
      <c r="I15" s="18" t="s">
        <v>349</v>
      </c>
      <c r="J15" s="20" t="s">
        <v>349</v>
      </c>
      <c r="K15" s="18" t="n">
        <v>0.2439499</v>
      </c>
      <c r="L15" s="20" t="n">
        <v>0.24393868</v>
      </c>
      <c r="M15" s="18" t="n">
        <v>0</v>
      </c>
      <c r="N15" s="20" t="n">
        <v>0</v>
      </c>
      <c r="O15" s="18" t="n">
        <v>0</v>
      </c>
      <c r="P15" s="20" t="n">
        <v>0</v>
      </c>
      <c r="Q15" s="18" t="n">
        <v>12.49331879</v>
      </c>
      <c r="R15" s="20" t="n">
        <v>1.72691512</v>
      </c>
    </row>
    <row r="16" spans="1:18">
      <c r="A16" s="15" t="s">
        <v>358</v>
      </c>
      <c r="B16" s="17" t="n">
        <v>2997</v>
      </c>
      <c r="C16" s="18">
        <f>(2641.0/B16*100)</f>
        <v/>
      </c>
      <c r="D16" s="19" t="n">
        <v>356</v>
      </c>
      <c r="E16" s="18" t="n">
        <v>43.8968045</v>
      </c>
      <c r="F16" s="20" t="n">
        <v>3.23519205</v>
      </c>
      <c r="G16" s="18" t="n">
        <v>35.12276698</v>
      </c>
      <c r="H16" s="20" t="n">
        <v>2.4586389</v>
      </c>
      <c r="I16" s="18" t="s">
        <v>349</v>
      </c>
      <c r="J16" s="20" t="s">
        <v>349</v>
      </c>
      <c r="K16" s="18" t="n">
        <v>1.47540153</v>
      </c>
      <c r="L16" s="20" t="n">
        <v>0.73784394</v>
      </c>
      <c r="M16" s="18" t="n">
        <v>0</v>
      </c>
      <c r="N16" s="20" t="n">
        <v>0</v>
      </c>
      <c r="O16" s="18" t="n">
        <v>0</v>
      </c>
      <c r="P16" s="20" t="n">
        <v>0</v>
      </c>
      <c r="Q16" s="18" t="n">
        <v>19.50502699</v>
      </c>
      <c r="R16" s="20" t="n">
        <v>2.66728757</v>
      </c>
    </row>
    <row r="17" spans="1:18">
      <c r="A17" s="15" t="s">
        <v>359</v>
      </c>
      <c r="B17" s="17" t="n">
        <v>3307</v>
      </c>
      <c r="C17" s="18">
        <f>(2894.0/B17*100)</f>
        <v/>
      </c>
      <c r="D17" s="19" t="n">
        <v>413</v>
      </c>
      <c r="E17" s="18" t="n">
        <v>46.97264101</v>
      </c>
      <c r="F17" s="20" t="n">
        <v>2.48318212</v>
      </c>
      <c r="G17" s="18" t="n">
        <v>41.87549468</v>
      </c>
      <c r="H17" s="20" t="n">
        <v>2.40640765</v>
      </c>
      <c r="I17" s="18" t="s">
        <v>349</v>
      </c>
      <c r="J17" s="20" t="s">
        <v>349</v>
      </c>
      <c r="K17" s="18" t="n">
        <v>0.71166154</v>
      </c>
      <c r="L17" s="20" t="n">
        <v>0.44466535</v>
      </c>
      <c r="M17" s="18" t="n">
        <v>0</v>
      </c>
      <c r="N17" s="20" t="n">
        <v>0</v>
      </c>
      <c r="O17" s="18" t="n">
        <v>0</v>
      </c>
      <c r="P17" s="20" t="n">
        <v>0</v>
      </c>
      <c r="Q17" s="18" t="n">
        <v>10.44020277</v>
      </c>
      <c r="R17" s="20" t="n">
        <v>1.55011723</v>
      </c>
    </row>
    <row r="18" spans="1:18">
      <c r="A18" s="15" t="s">
        <v>360</v>
      </c>
      <c r="B18" s="17" t="n">
        <v>2826</v>
      </c>
      <c r="C18" s="18">
        <f>(2486.0/B18*100)</f>
        <v/>
      </c>
      <c r="D18" s="19" t="n">
        <v>340</v>
      </c>
      <c r="E18" s="18" t="n">
        <v>56.36719467</v>
      </c>
      <c r="F18" s="20" t="n">
        <v>3.08747754</v>
      </c>
      <c r="G18" s="18" t="n">
        <v>19.64227766</v>
      </c>
      <c r="H18" s="20" t="n">
        <v>2.36360531</v>
      </c>
      <c r="I18" s="18" t="s">
        <v>349</v>
      </c>
      <c r="J18" s="20" t="s">
        <v>349</v>
      </c>
      <c r="K18" s="18" t="n">
        <v>1.86494645</v>
      </c>
      <c r="L18" s="20" t="n">
        <v>0.86813753</v>
      </c>
      <c r="M18" s="18" t="n">
        <v>0</v>
      </c>
      <c r="N18" s="20" t="n">
        <v>0</v>
      </c>
      <c r="O18" s="18" t="n">
        <v>0</v>
      </c>
      <c r="P18" s="20" t="n">
        <v>0</v>
      </c>
      <c r="Q18" s="18" t="n">
        <v>22.12558121</v>
      </c>
      <c r="R18" s="20" t="n">
        <v>2.92675425</v>
      </c>
    </row>
    <row r="19" spans="1:18">
      <c r="A19" s="15" t="s">
        <v>361</v>
      </c>
      <c r="B19" s="17" t="n">
        <v>2808</v>
      </c>
      <c r="C19" s="18">
        <f>(2461.0/B19*100)</f>
        <v/>
      </c>
      <c r="D19" s="19" t="n">
        <v>347</v>
      </c>
      <c r="E19" s="18" t="n">
        <v>53.58758065</v>
      </c>
      <c r="F19" s="20" t="n">
        <v>2.84308511</v>
      </c>
      <c r="G19" s="18" t="n">
        <v>29.8765619</v>
      </c>
      <c r="H19" s="20" t="n">
        <v>2.73330789</v>
      </c>
      <c r="I19" s="18" t="s">
        <v>349</v>
      </c>
      <c r="J19" s="20" t="s">
        <v>349</v>
      </c>
      <c r="K19" s="18" t="n">
        <v>0.6475903200000001</v>
      </c>
      <c r="L19" s="20" t="n">
        <v>0.60790197</v>
      </c>
      <c r="M19" s="18" t="n">
        <v>0</v>
      </c>
      <c r="N19" s="20" t="n">
        <v>0</v>
      </c>
      <c r="O19" s="18" t="n">
        <v>0</v>
      </c>
      <c r="P19" s="20" t="n">
        <v>0</v>
      </c>
      <c r="Q19" s="18" t="n">
        <v>15.88826714</v>
      </c>
      <c r="R19" s="20" t="n">
        <v>2.47768589</v>
      </c>
    </row>
    <row r="20" spans="1:18">
      <c r="A20" s="15" t="s">
        <v>362</v>
      </c>
      <c r="B20" s="17" t="n">
        <v>1630</v>
      </c>
      <c r="C20" s="18">
        <f>(1435.0/B20*100)</f>
        <v/>
      </c>
      <c r="D20" s="19" t="n">
        <v>195</v>
      </c>
      <c r="E20" s="18" t="n">
        <v>60.35273684</v>
      </c>
      <c r="F20" s="20" t="n">
        <v>3.71768904</v>
      </c>
      <c r="G20" s="18" t="n">
        <v>28.64817109</v>
      </c>
      <c r="H20" s="20" t="n">
        <v>3.60024829</v>
      </c>
      <c r="I20" s="18" t="s">
        <v>349</v>
      </c>
      <c r="J20" s="20" t="s">
        <v>349</v>
      </c>
      <c r="K20" s="18" t="n">
        <v>1.01953365</v>
      </c>
      <c r="L20" s="20" t="n">
        <v>0.72763287</v>
      </c>
      <c r="M20" s="18" t="n">
        <v>0</v>
      </c>
      <c r="N20" s="20" t="n">
        <v>0</v>
      </c>
      <c r="O20" s="18" t="n">
        <v>0</v>
      </c>
      <c r="P20" s="20" t="n">
        <v>0</v>
      </c>
      <c r="Q20" s="18" t="n">
        <v>9.979558409999999</v>
      </c>
      <c r="R20" s="20" t="n">
        <v>2.09651034</v>
      </c>
    </row>
    <row r="21" spans="1:18">
      <c r="A21" s="15" t="s">
        <v>363</v>
      </c>
      <c r="B21" s="17" t="n">
        <v>2908</v>
      </c>
      <c r="C21" s="18">
        <f>(2415.0/B21*100)</f>
        <v/>
      </c>
      <c r="D21" s="19" t="n">
        <v>493</v>
      </c>
      <c r="E21" s="18" t="n">
        <v>46.68829181</v>
      </c>
      <c r="F21" s="20" t="n">
        <v>2.20450384</v>
      </c>
      <c r="G21" s="18" t="n">
        <v>37.09824954</v>
      </c>
      <c r="H21" s="20" t="n">
        <v>1.91429247</v>
      </c>
      <c r="I21" s="18" t="s">
        <v>349</v>
      </c>
      <c r="J21" s="20" t="s">
        <v>349</v>
      </c>
      <c r="K21" s="18" t="n">
        <v>0.18978685</v>
      </c>
      <c r="L21" s="20" t="n">
        <v>0.18918125</v>
      </c>
      <c r="M21" s="18" t="n">
        <v>0</v>
      </c>
      <c r="N21" s="20" t="n">
        <v>0</v>
      </c>
      <c r="O21" s="18" t="n">
        <v>0</v>
      </c>
      <c r="P21" s="20" t="n">
        <v>0</v>
      </c>
      <c r="Q21" s="18" t="n">
        <v>16.0236718</v>
      </c>
      <c r="R21" s="20" t="n">
        <v>1.66667362</v>
      </c>
    </row>
    <row r="22" spans="1:18">
      <c r="A22" s="15" t="s">
        <v>364</v>
      </c>
      <c r="B22" s="17" t="n">
        <v>2931</v>
      </c>
      <c r="C22" s="18">
        <f>(2578.0/B22*100)</f>
        <v/>
      </c>
      <c r="D22" s="19" t="n">
        <v>353</v>
      </c>
      <c r="E22" s="18" t="n">
        <v>51.43402262</v>
      </c>
      <c r="F22" s="20" t="n">
        <v>2.6883045</v>
      </c>
      <c r="G22" s="18" t="n">
        <v>32.5130524</v>
      </c>
      <c r="H22" s="20" t="n">
        <v>2.71280088</v>
      </c>
      <c r="I22" s="18" t="s">
        <v>349</v>
      </c>
      <c r="J22" s="20" t="s">
        <v>349</v>
      </c>
      <c r="K22" s="18" t="n">
        <v>1.05995902</v>
      </c>
      <c r="L22" s="20" t="n">
        <v>0.65646653</v>
      </c>
      <c r="M22" s="18" t="n">
        <v>0</v>
      </c>
      <c r="N22" s="20" t="n">
        <v>0</v>
      </c>
      <c r="O22" s="18" t="n">
        <v>0</v>
      </c>
      <c r="P22" s="20" t="n">
        <v>0</v>
      </c>
      <c r="Q22" s="18" t="n">
        <v>14.99296596</v>
      </c>
      <c r="R22" s="20" t="n">
        <v>2.37594862</v>
      </c>
    </row>
    <row r="23" spans="1:18">
      <c r="A23" s="15" t="s">
        <v>365</v>
      </c>
      <c r="B23" s="17" t="n">
        <v>5791</v>
      </c>
      <c r="C23" s="18">
        <f>(5073.0/B23*100)</f>
        <v/>
      </c>
      <c r="D23" s="19" t="n">
        <v>718</v>
      </c>
      <c r="E23" s="18" t="n">
        <v>46.23080403</v>
      </c>
      <c r="F23" s="20" t="n">
        <v>2.71801788</v>
      </c>
      <c r="G23" s="18" t="n">
        <v>32.9881719</v>
      </c>
      <c r="H23" s="20" t="n">
        <v>2.43000227</v>
      </c>
      <c r="I23" s="18" t="s">
        <v>349</v>
      </c>
      <c r="J23" s="20" t="s">
        <v>349</v>
      </c>
      <c r="K23" s="18" t="n">
        <v>0.27769099</v>
      </c>
      <c r="L23" s="20" t="n">
        <v>0.2724824</v>
      </c>
      <c r="M23" s="18" t="n">
        <v>0</v>
      </c>
      <c r="N23" s="20" t="n">
        <v>0</v>
      </c>
      <c r="O23" s="18" t="n">
        <v>0</v>
      </c>
      <c r="P23" s="20" t="n">
        <v>0</v>
      </c>
      <c r="Q23" s="18" t="n">
        <v>20.50333308</v>
      </c>
      <c r="R23" s="20" t="n">
        <v>2.09371029</v>
      </c>
    </row>
    <row r="24" spans="1:18">
      <c r="A24" s="15" t="s">
        <v>366</v>
      </c>
      <c r="B24" s="17" t="n">
        <v>3338</v>
      </c>
      <c r="C24" s="18">
        <f>(2923.0/B24*100)</f>
        <v/>
      </c>
      <c r="D24" s="19" t="n">
        <v>415</v>
      </c>
      <c r="E24" s="18" t="n">
        <v>73.75206808999999</v>
      </c>
      <c r="F24" s="20" t="n">
        <v>2.01057792</v>
      </c>
      <c r="G24" s="18" t="n">
        <v>16.71594157</v>
      </c>
      <c r="H24" s="20" t="n">
        <v>1.88517665</v>
      </c>
      <c r="I24" s="18" t="s">
        <v>349</v>
      </c>
      <c r="J24" s="20" t="s">
        <v>349</v>
      </c>
      <c r="K24" s="18" t="n">
        <v>0.61564314</v>
      </c>
      <c r="L24" s="20" t="n">
        <v>0.36033243</v>
      </c>
      <c r="M24" s="18" t="n">
        <v>0</v>
      </c>
      <c r="N24" s="20" t="n">
        <v>0</v>
      </c>
      <c r="O24" s="18" t="n">
        <v>0</v>
      </c>
      <c r="P24" s="20" t="n">
        <v>0</v>
      </c>
      <c r="Q24" s="18" t="n">
        <v>8.91634721</v>
      </c>
      <c r="R24" s="20" t="n">
        <v>1.50580725</v>
      </c>
    </row>
    <row r="25" spans="1:18">
      <c r="A25" s="15" t="s">
        <v>367</v>
      </c>
      <c r="B25" s="17" t="n">
        <v>2912</v>
      </c>
      <c r="C25" s="18">
        <f>(2574.0/B25*100)</f>
        <v/>
      </c>
      <c r="D25" s="19" t="n">
        <v>338</v>
      </c>
      <c r="E25" s="18" t="n">
        <v>72.39330965000001</v>
      </c>
      <c r="F25" s="20" t="n">
        <v>2.43480554</v>
      </c>
      <c r="G25" s="18" t="n">
        <v>14.85145292</v>
      </c>
      <c r="H25" s="20" t="n">
        <v>2.01923996</v>
      </c>
      <c r="I25" s="18" t="s">
        <v>349</v>
      </c>
      <c r="J25" s="20" t="s">
        <v>349</v>
      </c>
      <c r="K25" s="18" t="n">
        <v>0.59307864</v>
      </c>
      <c r="L25" s="20" t="n">
        <v>0.42064308</v>
      </c>
      <c r="M25" s="18" t="n">
        <v>0</v>
      </c>
      <c r="N25" s="20" t="n">
        <v>0</v>
      </c>
      <c r="O25" s="18" t="n">
        <v>0</v>
      </c>
      <c r="P25" s="20" t="n">
        <v>0</v>
      </c>
      <c r="Q25" s="18" t="n">
        <v>12.16215879</v>
      </c>
      <c r="R25" s="20" t="n">
        <v>1.86601253</v>
      </c>
    </row>
    <row r="26" spans="1:18">
      <c r="A26" s="15" t="s">
        <v>368</v>
      </c>
      <c r="B26" s="17" t="n">
        <v>2450</v>
      </c>
      <c r="C26" s="18">
        <f>(2135.0/B26*100)</f>
        <v/>
      </c>
      <c r="D26" s="19" t="n">
        <v>315</v>
      </c>
      <c r="E26" s="18" t="n">
        <v>60.80235078</v>
      </c>
      <c r="F26" s="20" t="n">
        <v>2.76724565</v>
      </c>
      <c r="G26" s="18" t="n">
        <v>25.65485075</v>
      </c>
      <c r="H26" s="20" t="n">
        <v>2.52369777</v>
      </c>
      <c r="I26" s="18" t="s">
        <v>349</v>
      </c>
      <c r="J26" s="20" t="s">
        <v>349</v>
      </c>
      <c r="K26" s="18" t="n">
        <v>0</v>
      </c>
      <c r="L26" s="20" t="n">
        <v>0</v>
      </c>
      <c r="M26" s="18" t="n">
        <v>0</v>
      </c>
      <c r="N26" s="20" t="n">
        <v>0</v>
      </c>
      <c r="O26" s="18" t="n">
        <v>0</v>
      </c>
      <c r="P26" s="20" t="n">
        <v>0</v>
      </c>
      <c r="Q26" s="18" t="n">
        <v>13.54279847</v>
      </c>
      <c r="R26" s="20" t="n">
        <v>1.98217401</v>
      </c>
    </row>
    <row r="27" spans="1:18">
      <c r="A27" s="15" t="s">
        <v>369</v>
      </c>
      <c r="B27" s="17" t="n">
        <v>2616</v>
      </c>
      <c r="C27" s="18">
        <f>(2310.0/B27*100)</f>
        <v/>
      </c>
      <c r="D27" s="19" t="n">
        <v>306</v>
      </c>
      <c r="E27" s="18" t="n">
        <v>43.92103035</v>
      </c>
      <c r="F27" s="20" t="n">
        <v>3.19448895</v>
      </c>
      <c r="G27" s="18" t="n">
        <v>41.7520524</v>
      </c>
      <c r="H27" s="20" t="n">
        <v>2.77456188</v>
      </c>
      <c r="I27" s="18" t="s">
        <v>349</v>
      </c>
      <c r="J27" s="20" t="s">
        <v>349</v>
      </c>
      <c r="K27" s="18" t="n">
        <v>0.32319293</v>
      </c>
      <c r="L27" s="20" t="n">
        <v>0.31991869</v>
      </c>
      <c r="M27" s="18" t="n">
        <v>0</v>
      </c>
      <c r="N27" s="20" t="n">
        <v>0</v>
      </c>
      <c r="O27" s="18" t="n">
        <v>0</v>
      </c>
      <c r="P27" s="20" t="n">
        <v>0</v>
      </c>
      <c r="Q27" s="18" t="n">
        <v>14.00372431</v>
      </c>
      <c r="R27" s="20" t="n">
        <v>2.08171259</v>
      </c>
    </row>
    <row r="28" spans="1:18">
      <c r="A28" s="15" t="s">
        <v>370</v>
      </c>
      <c r="B28" s="17" t="n">
        <v>3765</v>
      </c>
      <c r="C28" s="18">
        <f>(3310.0/B28*100)</f>
        <v/>
      </c>
      <c r="D28" s="19" t="n">
        <v>455</v>
      </c>
      <c r="E28" s="18" t="n">
        <v>69.09303733</v>
      </c>
      <c r="F28" s="20" t="n">
        <v>2.17256894</v>
      </c>
      <c r="G28" s="18" t="n">
        <v>18.5274149</v>
      </c>
      <c r="H28" s="20" t="n">
        <v>1.74114836</v>
      </c>
      <c r="I28" s="18" t="s">
        <v>349</v>
      </c>
      <c r="J28" s="20" t="s">
        <v>349</v>
      </c>
      <c r="K28" s="18" t="n">
        <v>0.8001110299999999</v>
      </c>
      <c r="L28" s="20" t="n">
        <v>0.48233621</v>
      </c>
      <c r="M28" s="18" t="n">
        <v>0</v>
      </c>
      <c r="N28" s="20" t="n">
        <v>0</v>
      </c>
      <c r="O28" s="18" t="n">
        <v>0</v>
      </c>
      <c r="P28" s="20" t="n">
        <v>0</v>
      </c>
      <c r="Q28" s="18" t="n">
        <v>11.57943674</v>
      </c>
      <c r="R28" s="20" t="n">
        <v>1.49990871</v>
      </c>
    </row>
    <row r="29" spans="1:18">
      <c r="A29" s="15" t="s">
        <v>371</v>
      </c>
      <c r="B29" s="17" t="n">
        <v>2685</v>
      </c>
      <c r="C29" s="18">
        <f>(2378.0/B29*100)</f>
        <v/>
      </c>
      <c r="D29" s="19" t="n">
        <v>307</v>
      </c>
      <c r="E29" s="18" t="n">
        <v>48.62414217</v>
      </c>
      <c r="F29" s="20" t="n">
        <v>3.06700168</v>
      </c>
      <c r="G29" s="18" t="n">
        <v>44.26645637</v>
      </c>
      <c r="H29" s="20" t="n">
        <v>2.85681638</v>
      </c>
      <c r="I29" s="18" t="s">
        <v>349</v>
      </c>
      <c r="J29" s="20" t="s">
        <v>349</v>
      </c>
      <c r="K29" s="18" t="n">
        <v>0</v>
      </c>
      <c r="L29" s="20" t="n">
        <v>0</v>
      </c>
      <c r="M29" s="18" t="n">
        <v>0</v>
      </c>
      <c r="N29" s="20" t="n">
        <v>0</v>
      </c>
      <c r="O29" s="18" t="n">
        <v>0</v>
      </c>
      <c r="P29" s="20" t="n">
        <v>0</v>
      </c>
      <c r="Q29" s="18" t="n">
        <v>7.10940146</v>
      </c>
      <c r="R29" s="20" t="n">
        <v>1.4434079</v>
      </c>
    </row>
    <row r="30" spans="1:18">
      <c r="A30" s="15" t="s">
        <v>372</v>
      </c>
      <c r="B30" s="17" t="n">
        <v>2263</v>
      </c>
      <c r="C30" s="18">
        <f>(1975.0/B30*100)</f>
        <v/>
      </c>
      <c r="D30" s="19" t="n">
        <v>288</v>
      </c>
      <c r="E30" s="18" t="n">
        <v>55.04751107</v>
      </c>
      <c r="F30" s="20" t="n">
        <v>2.99762854</v>
      </c>
      <c r="G30" s="18" t="n">
        <v>23.51018852</v>
      </c>
      <c r="H30" s="20" t="n">
        <v>2.50451191</v>
      </c>
      <c r="I30" s="18" t="s">
        <v>349</v>
      </c>
      <c r="J30" s="20" t="s">
        <v>349</v>
      </c>
      <c r="K30" s="18" t="n">
        <v>0.31500272</v>
      </c>
      <c r="L30" s="20" t="n">
        <v>0.31940599</v>
      </c>
      <c r="M30" s="18" t="n">
        <v>0</v>
      </c>
      <c r="N30" s="20" t="n">
        <v>0</v>
      </c>
      <c r="O30" s="18" t="n">
        <v>0</v>
      </c>
      <c r="P30" s="20" t="n">
        <v>0</v>
      </c>
      <c r="Q30" s="18" t="n">
        <v>21.12729769</v>
      </c>
      <c r="R30" s="20" t="n">
        <v>2.4849675</v>
      </c>
    </row>
    <row r="31" spans="1:18">
      <c r="A31" s="15" t="s">
        <v>373</v>
      </c>
      <c r="B31" s="17" t="n">
        <v>2750</v>
      </c>
      <c r="C31" s="18">
        <f>(2423.0/B31*100)</f>
        <v/>
      </c>
      <c r="D31" s="19" t="n">
        <v>327</v>
      </c>
      <c r="E31" s="18" t="n">
        <v>51.89238549</v>
      </c>
      <c r="F31" s="20" t="n">
        <v>2.87719559</v>
      </c>
      <c r="G31" s="18" t="n">
        <v>34.41570923</v>
      </c>
      <c r="H31" s="20" t="n">
        <v>2.7158403</v>
      </c>
      <c r="I31" s="18" t="s">
        <v>349</v>
      </c>
      <c r="J31" s="20" t="s">
        <v>349</v>
      </c>
      <c r="K31" s="18" t="n">
        <v>0.85172743</v>
      </c>
      <c r="L31" s="20" t="n">
        <v>0.47523455</v>
      </c>
      <c r="M31" s="18" t="n">
        <v>0</v>
      </c>
      <c r="N31" s="20" t="n">
        <v>0</v>
      </c>
      <c r="O31" s="18" t="n">
        <v>0</v>
      </c>
      <c r="P31" s="20" t="n">
        <v>0</v>
      </c>
      <c r="Q31" s="18" t="n">
        <v>12.84017785</v>
      </c>
      <c r="R31" s="20" t="n">
        <v>1.98991813</v>
      </c>
    </row>
    <row r="32" spans="1:18">
      <c r="A32" s="15" t="s">
        <v>374</v>
      </c>
      <c r="B32" s="17" t="n">
        <v>2269</v>
      </c>
      <c r="C32" s="18">
        <f>(1904.0/B32*100)</f>
        <v/>
      </c>
      <c r="D32" s="19" t="n">
        <v>365</v>
      </c>
      <c r="E32" s="18" t="n">
        <v>51.37785655</v>
      </c>
      <c r="F32" s="20" t="n">
        <v>2.62842267</v>
      </c>
      <c r="G32" s="18" t="n">
        <v>36.56876875</v>
      </c>
      <c r="H32" s="20" t="n">
        <v>2.58809171</v>
      </c>
      <c r="I32" s="18" t="s">
        <v>349</v>
      </c>
      <c r="J32" s="20" t="s">
        <v>349</v>
      </c>
      <c r="K32" s="18" t="n">
        <v>0</v>
      </c>
      <c r="L32" s="20" t="n">
        <v>0</v>
      </c>
      <c r="M32" s="18" t="n">
        <v>0</v>
      </c>
      <c r="N32" s="20" t="n">
        <v>0</v>
      </c>
      <c r="O32" s="18" t="n">
        <v>0</v>
      </c>
      <c r="P32" s="20" t="n">
        <v>0</v>
      </c>
      <c r="Q32" s="18" t="n">
        <v>12.0533747</v>
      </c>
      <c r="R32" s="20" t="n">
        <v>1.53396803</v>
      </c>
    </row>
    <row r="33" spans="1:18">
      <c r="A33" s="15" t="s">
        <v>375</v>
      </c>
      <c r="B33" s="17" t="n">
        <v>3674</v>
      </c>
      <c r="C33" s="18">
        <f>(3233.0/B33*100)</f>
        <v/>
      </c>
      <c r="D33" s="19" t="n">
        <v>441</v>
      </c>
      <c r="E33" s="18" t="n">
        <v>49.63394547</v>
      </c>
      <c r="F33" s="20" t="n">
        <v>2.84676967</v>
      </c>
      <c r="G33" s="18" t="n">
        <v>35.9347083</v>
      </c>
      <c r="H33" s="20" t="n">
        <v>2.97628322</v>
      </c>
      <c r="I33" s="18" t="s">
        <v>349</v>
      </c>
      <c r="J33" s="20" t="s">
        <v>349</v>
      </c>
      <c r="K33" s="18" t="n">
        <v>1.69938427</v>
      </c>
      <c r="L33" s="20" t="n">
        <v>1.26339722</v>
      </c>
      <c r="M33" s="18" t="n">
        <v>0</v>
      </c>
      <c r="N33" s="20" t="n">
        <v>0</v>
      </c>
      <c r="O33" s="18" t="n">
        <v>0</v>
      </c>
      <c r="P33" s="20" t="n">
        <v>0</v>
      </c>
      <c r="Q33" s="18" t="n">
        <v>12.73196196</v>
      </c>
      <c r="R33" s="20" t="n">
        <v>1.77188846</v>
      </c>
    </row>
    <row r="34" spans="1:18">
      <c r="A34" s="15" t="s">
        <v>376</v>
      </c>
      <c r="B34" s="17" t="n">
        <v>3315</v>
      </c>
      <c r="C34" s="18">
        <f>(2907.0/B34*100)</f>
        <v/>
      </c>
      <c r="D34" s="19" t="n">
        <v>408</v>
      </c>
      <c r="E34" s="18" t="n">
        <v>60.71264536</v>
      </c>
      <c r="F34" s="20" t="n">
        <v>2.79024392</v>
      </c>
      <c r="G34" s="18" t="n">
        <v>22.73017647</v>
      </c>
      <c r="H34" s="20" t="n">
        <v>2.60252233</v>
      </c>
      <c r="I34" s="18" t="s">
        <v>349</v>
      </c>
      <c r="J34" s="20" t="s">
        <v>349</v>
      </c>
      <c r="K34" s="18" t="n">
        <v>0.5824276</v>
      </c>
      <c r="L34" s="20" t="n">
        <v>0.43099169</v>
      </c>
      <c r="M34" s="18" t="n">
        <v>0</v>
      </c>
      <c r="N34" s="20" t="n">
        <v>0</v>
      </c>
      <c r="O34" s="18" t="n">
        <v>0</v>
      </c>
      <c r="P34" s="20" t="n">
        <v>0</v>
      </c>
      <c r="Q34" s="18" t="n">
        <v>15.97475057</v>
      </c>
      <c r="R34" s="20" t="n">
        <v>1.9936532</v>
      </c>
    </row>
    <row r="35" spans="1:18">
      <c r="A35" s="15" t="s">
        <v>377</v>
      </c>
      <c r="B35" s="17" t="n">
        <v>3505</v>
      </c>
      <c r="C35" s="18">
        <f>(3097.0/B35*100)</f>
        <v/>
      </c>
      <c r="D35" s="19" t="n">
        <v>408</v>
      </c>
      <c r="E35" s="18" t="n">
        <v>51.77643562</v>
      </c>
      <c r="F35" s="20" t="n">
        <v>2.97041334</v>
      </c>
      <c r="G35" s="18" t="n">
        <v>35.46737959</v>
      </c>
      <c r="H35" s="20" t="n">
        <v>2.78463233</v>
      </c>
      <c r="I35" s="18" t="s">
        <v>349</v>
      </c>
      <c r="J35" s="20" t="s">
        <v>349</v>
      </c>
      <c r="K35" s="18" t="n">
        <v>0.26056699</v>
      </c>
      <c r="L35" s="20" t="n">
        <v>0.18601681</v>
      </c>
      <c r="M35" s="18" t="n">
        <v>0</v>
      </c>
      <c r="N35" s="20" t="n">
        <v>0</v>
      </c>
      <c r="O35" s="18" t="n">
        <v>0</v>
      </c>
      <c r="P35" s="20" t="n">
        <v>0</v>
      </c>
      <c r="Q35" s="18" t="n">
        <v>12.4956178</v>
      </c>
      <c r="R35" s="20" t="n">
        <v>1.7482236</v>
      </c>
    </row>
    <row r="36" spans="1:18">
      <c r="A36" s="15" t="s">
        <v>378</v>
      </c>
      <c r="B36" s="17" t="n">
        <v>3332</v>
      </c>
      <c r="C36" s="18">
        <f>(2934.0/B36*100)</f>
        <v/>
      </c>
      <c r="D36" s="19" t="n">
        <v>398</v>
      </c>
      <c r="E36" s="18" t="n">
        <v>42.5863956</v>
      </c>
      <c r="F36" s="20" t="n">
        <v>2.3908046</v>
      </c>
      <c r="G36" s="18" t="n">
        <v>32.12938387</v>
      </c>
      <c r="H36" s="20" t="n">
        <v>2.23426196</v>
      </c>
      <c r="I36" s="18" t="s">
        <v>349</v>
      </c>
      <c r="J36" s="20" t="s">
        <v>349</v>
      </c>
      <c r="K36" s="18" t="n">
        <v>0.51993938</v>
      </c>
      <c r="L36" s="20" t="n">
        <v>0.39538271</v>
      </c>
      <c r="M36" s="18" t="n">
        <v>0</v>
      </c>
      <c r="N36" s="20" t="n">
        <v>0</v>
      </c>
      <c r="O36" s="18" t="n">
        <v>0</v>
      </c>
      <c r="P36" s="20" t="n">
        <v>0</v>
      </c>
      <c r="Q36" s="18" t="n">
        <v>24.76428114</v>
      </c>
      <c r="R36" s="20" t="n">
        <v>2.26502131</v>
      </c>
    </row>
    <row r="37" spans="1:18">
      <c r="A37" s="15" t="s">
        <v>379</v>
      </c>
      <c r="B37" s="17" t="n">
        <v>2727</v>
      </c>
      <c r="C37" s="18">
        <f>(2401.0/B37*100)</f>
        <v/>
      </c>
      <c r="D37" s="19" t="n">
        <v>326</v>
      </c>
      <c r="E37" s="18" t="n">
        <v>52.4974276</v>
      </c>
      <c r="F37" s="20" t="n">
        <v>2.67430603</v>
      </c>
      <c r="G37" s="18" t="n">
        <v>31.4821373</v>
      </c>
      <c r="H37" s="20" t="n">
        <v>2.41723818</v>
      </c>
      <c r="I37" s="18" t="s">
        <v>349</v>
      </c>
      <c r="J37" s="20" t="s">
        <v>349</v>
      </c>
      <c r="K37" s="18" t="n">
        <v>1.47480244</v>
      </c>
      <c r="L37" s="20" t="n">
        <v>0.64882087</v>
      </c>
      <c r="M37" s="18" t="n">
        <v>0</v>
      </c>
      <c r="N37" s="20" t="n">
        <v>0</v>
      </c>
      <c r="O37" s="18" t="n">
        <v>0</v>
      </c>
      <c r="P37" s="20" t="n">
        <v>0</v>
      </c>
      <c r="Q37" s="18" t="n">
        <v>14.54563267</v>
      </c>
      <c r="R37" s="20" t="n">
        <v>1.88695278</v>
      </c>
    </row>
    <row r="38" spans="1:18">
      <c r="A38" s="15" t="s">
        <v>380</v>
      </c>
      <c r="B38" s="17" t="n">
        <v>3053</v>
      </c>
      <c r="C38" s="18">
        <f>(2556.0/B38*100)</f>
        <v/>
      </c>
      <c r="D38" s="19" t="n">
        <v>497</v>
      </c>
      <c r="E38" s="18" t="n">
        <v>54.47233874</v>
      </c>
      <c r="F38" s="20" t="n">
        <v>2.51984762</v>
      </c>
      <c r="G38" s="18" t="n">
        <v>34.15777299</v>
      </c>
      <c r="H38" s="20" t="n">
        <v>2.28908497</v>
      </c>
      <c r="I38" s="18" t="s">
        <v>349</v>
      </c>
      <c r="J38" s="20" t="s">
        <v>349</v>
      </c>
      <c r="K38" s="18" t="n">
        <v>1.22925148</v>
      </c>
      <c r="L38" s="20" t="n">
        <v>0.50451009</v>
      </c>
      <c r="M38" s="18" t="n">
        <v>0</v>
      </c>
      <c r="N38" s="20" t="n">
        <v>0</v>
      </c>
      <c r="O38" s="18" t="n">
        <v>0</v>
      </c>
      <c r="P38" s="20" t="n">
        <v>0</v>
      </c>
      <c r="Q38" s="18" t="n">
        <v>10.14063679</v>
      </c>
      <c r="R38" s="20" t="n">
        <v>1.39023804</v>
      </c>
    </row>
    <row r="39" spans="1:18">
      <c r="A39" s="15" t="s">
        <v>381</v>
      </c>
      <c r="B39" s="17" t="n">
        <v>2957</v>
      </c>
      <c r="C39" s="18">
        <f>(2598.0/B39*100)</f>
        <v/>
      </c>
      <c r="D39" s="19" t="n">
        <v>359</v>
      </c>
      <c r="E39" s="18" t="n">
        <v>72.27179146</v>
      </c>
      <c r="F39" s="20" t="n">
        <v>2.65084037</v>
      </c>
      <c r="G39" s="18" t="n">
        <v>19.39119792</v>
      </c>
      <c r="H39" s="20" t="n">
        <v>2.57516182</v>
      </c>
      <c r="I39" s="18" t="s">
        <v>349</v>
      </c>
      <c r="J39" s="20" t="s">
        <v>349</v>
      </c>
      <c r="K39" s="18" t="n">
        <v>0.50563959</v>
      </c>
      <c r="L39" s="20" t="n">
        <v>0.30241033</v>
      </c>
      <c r="M39" s="18" t="n">
        <v>0</v>
      </c>
      <c r="N39" s="20" t="n">
        <v>0</v>
      </c>
      <c r="O39" s="18" t="n">
        <v>0</v>
      </c>
      <c r="P39" s="20" t="n">
        <v>0</v>
      </c>
      <c r="Q39" s="18" t="n">
        <v>7.83137102</v>
      </c>
      <c r="R39" s="20" t="n">
        <v>1.5291141</v>
      </c>
    </row>
    <row r="40" spans="1:18">
      <c r="A40" s="15" t="s">
        <v>382</v>
      </c>
      <c r="B40" s="17" t="n">
        <v>7235</v>
      </c>
      <c r="C40" s="18">
        <f>(6330.0/B40*100)</f>
        <v/>
      </c>
      <c r="D40" s="19" t="n">
        <v>905</v>
      </c>
      <c r="E40" s="18" t="n">
        <v>51.892246</v>
      </c>
      <c r="F40" s="20" t="n">
        <v>2.65625743</v>
      </c>
      <c r="G40" s="18" t="n">
        <v>29.99080142</v>
      </c>
      <c r="H40" s="20" t="n">
        <v>2.43207467</v>
      </c>
      <c r="I40" s="18" t="s">
        <v>349</v>
      </c>
      <c r="J40" s="20" t="s">
        <v>349</v>
      </c>
      <c r="K40" s="18" t="n">
        <v>0.64181466</v>
      </c>
      <c r="L40" s="20" t="n">
        <v>0.33612995</v>
      </c>
      <c r="M40" s="18" t="n">
        <v>0</v>
      </c>
      <c r="N40" s="20" t="n">
        <v>0</v>
      </c>
      <c r="O40" s="18" t="n">
        <v>0</v>
      </c>
      <c r="P40" s="20" t="n">
        <v>0</v>
      </c>
      <c r="Q40" s="18" t="n">
        <v>17.47513791</v>
      </c>
      <c r="R40" s="20" t="n">
        <v>2.24664677</v>
      </c>
    </row>
    <row r="41" spans="1:18">
      <c r="A41" s="15" t="s">
        <v>383</v>
      </c>
      <c r="B41" s="17" t="n">
        <v>2858</v>
      </c>
      <c r="C41" s="18">
        <f>(2481.0/B41*100)</f>
        <v/>
      </c>
      <c r="D41" s="19" t="n">
        <v>377</v>
      </c>
      <c r="E41" s="18" t="n">
        <v>67.20539482</v>
      </c>
      <c r="F41" s="20" t="n">
        <v>2.67187955</v>
      </c>
      <c r="G41" s="18" t="n">
        <v>24.64013134</v>
      </c>
      <c r="H41" s="20" t="n">
        <v>2.37711724</v>
      </c>
      <c r="I41" s="18" t="s">
        <v>349</v>
      </c>
      <c r="J41" s="20" t="s">
        <v>349</v>
      </c>
      <c r="K41" s="18" t="n">
        <v>0.20243958</v>
      </c>
      <c r="L41" s="20" t="n">
        <v>0.21075893</v>
      </c>
      <c r="M41" s="18" t="n">
        <v>0</v>
      </c>
      <c r="N41" s="20" t="n">
        <v>0</v>
      </c>
      <c r="O41" s="18" t="n">
        <v>0</v>
      </c>
      <c r="P41" s="20" t="n">
        <v>0</v>
      </c>
      <c r="Q41" s="18" t="n">
        <v>7.95203426</v>
      </c>
      <c r="R41" s="20" t="n">
        <v>2.06696619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(9923.0/B46*100)</f>
        <v/>
      </c>
      <c r="D46" s="19" t="n">
        <v>1145</v>
      </c>
      <c r="E46" s="18" t="n">
        <v>65.07495113</v>
      </c>
      <c r="F46" s="20" t="n">
        <v>1.93557323</v>
      </c>
      <c r="G46" s="18" t="n">
        <v>14.79293633</v>
      </c>
      <c r="H46" s="20" t="n">
        <v>1.44819739</v>
      </c>
      <c r="I46" s="18" t="s">
        <v>349</v>
      </c>
      <c r="J46" s="20" t="s">
        <v>349</v>
      </c>
      <c r="K46" s="18" t="n">
        <v>1.63611791</v>
      </c>
      <c r="L46" s="20" t="n">
        <v>0.53112179</v>
      </c>
      <c r="M46" s="18" t="n">
        <v>0</v>
      </c>
      <c r="N46" s="20" t="n">
        <v>0</v>
      </c>
      <c r="O46" s="18" t="n">
        <v>0</v>
      </c>
      <c r="P46" s="20" t="n">
        <v>0</v>
      </c>
      <c r="Q46" s="18" t="n">
        <v>18.49599463</v>
      </c>
      <c r="R46" s="20" t="n">
        <v>1.5379929</v>
      </c>
    </row>
    <row r="47" spans="1:18">
      <c r="A47" s="15" t="s">
        <v>389</v>
      </c>
      <c r="B47" s="17" t="n">
        <v>3105</v>
      </c>
      <c r="C47" s="18">
        <f>(2714.0/B47*100)</f>
        <v/>
      </c>
      <c r="D47" s="19" t="n">
        <v>391</v>
      </c>
      <c r="E47" s="18" t="n">
        <v>58.71753687</v>
      </c>
      <c r="F47" s="20" t="n">
        <v>2.5361441</v>
      </c>
      <c r="G47" s="18" t="n">
        <v>16.55640819</v>
      </c>
      <c r="H47" s="20" t="n">
        <v>1.94231432</v>
      </c>
      <c r="I47" s="18" t="s">
        <v>349</v>
      </c>
      <c r="J47" s="20" t="s">
        <v>349</v>
      </c>
      <c r="K47" s="18" t="n">
        <v>1.01616034</v>
      </c>
      <c r="L47" s="20" t="n">
        <v>0.46797685</v>
      </c>
      <c r="M47" s="18" t="n">
        <v>0</v>
      </c>
      <c r="N47" s="20" t="n">
        <v>0</v>
      </c>
      <c r="O47" s="18" t="n">
        <v>0</v>
      </c>
      <c r="P47" s="20" t="n">
        <v>0</v>
      </c>
      <c r="Q47" s="18" t="n">
        <v>23.7098946</v>
      </c>
      <c r="R47" s="20" t="n">
        <v>2.07261028</v>
      </c>
    </row>
    <row r="48" spans="1:18">
      <c r="A48" s="15" t="s">
        <v>390</v>
      </c>
      <c r="B48" s="17" t="n">
        <v>5159</v>
      </c>
      <c r="C48" s="18">
        <f>(4542.0/B48*100)</f>
        <v/>
      </c>
      <c r="D48" s="19" t="n">
        <v>617</v>
      </c>
      <c r="E48" s="18" t="n">
        <v>71.94060076</v>
      </c>
      <c r="F48" s="20" t="n">
        <v>2.37281219</v>
      </c>
      <c r="G48" s="18" t="n">
        <v>22.19230828</v>
      </c>
      <c r="H48" s="20" t="n">
        <v>2.11514758</v>
      </c>
      <c r="I48" s="18" t="s">
        <v>349</v>
      </c>
      <c r="J48" s="20" t="s">
        <v>349</v>
      </c>
      <c r="K48" s="18" t="n">
        <v>0.80077787</v>
      </c>
      <c r="L48" s="20" t="n">
        <v>0.47926842</v>
      </c>
      <c r="M48" s="18" t="n">
        <v>0</v>
      </c>
      <c r="N48" s="20" t="n">
        <v>0</v>
      </c>
      <c r="O48" s="18" t="n">
        <v>0</v>
      </c>
      <c r="P48" s="20" t="n">
        <v>0</v>
      </c>
      <c r="Q48" s="18" t="n">
        <v>5.06631309</v>
      </c>
      <c r="R48" s="20" t="n">
        <v>0.98899611</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(4968.0/B50*100)</f>
        <v/>
      </c>
      <c r="D50" s="19" t="n">
        <v>669</v>
      </c>
      <c r="E50" s="18" t="n">
        <v>70.74705345</v>
      </c>
      <c r="F50" s="20" t="n">
        <v>2.37117999</v>
      </c>
      <c r="G50" s="18" t="n">
        <v>16.46955298</v>
      </c>
      <c r="H50" s="20" t="n">
        <v>1.98930002</v>
      </c>
      <c r="I50" s="18" t="s">
        <v>349</v>
      </c>
      <c r="J50" s="20" t="s">
        <v>349</v>
      </c>
      <c r="K50" s="18" t="n">
        <v>1.03081081</v>
      </c>
      <c r="L50" s="20" t="n">
        <v>0.45412201</v>
      </c>
      <c r="M50" s="18" t="n">
        <v>0</v>
      </c>
      <c r="N50" s="20" t="n">
        <v>0</v>
      </c>
      <c r="O50" s="18" t="n">
        <v>0</v>
      </c>
      <c r="P50" s="20" t="n">
        <v>0</v>
      </c>
      <c r="Q50" s="18" t="n">
        <v>11.75258276</v>
      </c>
      <c r="R50" s="20" t="n">
        <v>1.7241167</v>
      </c>
    </row>
    <row r="51" spans="1:18">
      <c r="A51" s="15" t="s">
        <v>393</v>
      </c>
      <c r="B51" s="17" t="n">
        <v>3372</v>
      </c>
      <c r="C51" s="18">
        <f>(3004.0/B51*100)</f>
        <v/>
      </c>
      <c r="D51" s="19" t="n">
        <v>368</v>
      </c>
      <c r="E51" s="18" t="n">
        <v>64.51413576</v>
      </c>
      <c r="F51" s="20" t="n">
        <v>2.82092377</v>
      </c>
      <c r="G51" s="18" t="n">
        <v>18.74568996</v>
      </c>
      <c r="H51" s="20" t="n">
        <v>2.33396868</v>
      </c>
      <c r="I51" s="18" t="s">
        <v>349</v>
      </c>
      <c r="J51" s="20" t="s">
        <v>349</v>
      </c>
      <c r="K51" s="18" t="n">
        <v>1.16431383</v>
      </c>
      <c r="L51" s="20" t="n">
        <v>0.69919502</v>
      </c>
      <c r="M51" s="18" t="n">
        <v>0</v>
      </c>
      <c r="N51" s="20" t="n">
        <v>0</v>
      </c>
      <c r="O51" s="18" t="n">
        <v>0</v>
      </c>
      <c r="P51" s="20" t="n">
        <v>0</v>
      </c>
      <c r="Q51" s="18" t="n">
        <v>15.57586045</v>
      </c>
      <c r="R51" s="20" t="n">
        <v>2.1760389</v>
      </c>
    </row>
    <row r="52" spans="1:18">
      <c r="A52" s="15" t="s">
        <v>394</v>
      </c>
      <c r="B52" s="17" t="n">
        <v>2796</v>
      </c>
      <c r="C52" s="18">
        <f>(2432.0/B52*100)</f>
        <v/>
      </c>
      <c r="D52" s="19" t="n">
        <v>364</v>
      </c>
      <c r="E52" s="18" t="n">
        <v>48.52016809</v>
      </c>
      <c r="F52" s="20" t="n">
        <v>2.60826664</v>
      </c>
      <c r="G52" s="18" t="n">
        <v>27.89155419</v>
      </c>
      <c r="H52" s="20" t="n">
        <v>1.9518307</v>
      </c>
      <c r="I52" s="18" t="s">
        <v>349</v>
      </c>
      <c r="J52" s="20" t="s">
        <v>349</v>
      </c>
      <c r="K52" s="18" t="n">
        <v>0.56990436</v>
      </c>
      <c r="L52" s="20" t="n">
        <v>0.44374297</v>
      </c>
      <c r="M52" s="18" t="n">
        <v>0</v>
      </c>
      <c r="N52" s="20" t="n">
        <v>0</v>
      </c>
      <c r="O52" s="18" t="n">
        <v>0</v>
      </c>
      <c r="P52" s="20" t="n">
        <v>0</v>
      </c>
      <c r="Q52" s="18" t="n">
        <v>23.01837336</v>
      </c>
      <c r="R52" s="20" t="n">
        <v>2.13942952</v>
      </c>
    </row>
    <row r="53" spans="1:18">
      <c r="A53" s="15" t="s">
        <v>395</v>
      </c>
      <c r="B53" s="17" t="n">
        <v>2811</v>
      </c>
      <c r="C53" s="18">
        <f>(2457.0/B53*100)</f>
        <v/>
      </c>
      <c r="D53" s="19" t="n">
        <v>354</v>
      </c>
      <c r="E53" s="18" t="n">
        <v>62.73953419</v>
      </c>
      <c r="F53" s="20" t="n">
        <v>2.76768443</v>
      </c>
      <c r="G53" s="18" t="n">
        <v>18.8124501</v>
      </c>
      <c r="H53" s="20" t="n">
        <v>2.36221052</v>
      </c>
      <c r="I53" s="18" t="s">
        <v>349</v>
      </c>
      <c r="J53" s="20" t="s">
        <v>349</v>
      </c>
      <c r="K53" s="18" t="n">
        <v>0.3814755</v>
      </c>
      <c r="L53" s="20" t="n">
        <v>0.2692269</v>
      </c>
      <c r="M53" s="18" t="n">
        <v>0</v>
      </c>
      <c r="N53" s="20" t="n">
        <v>0</v>
      </c>
      <c r="O53" s="18" t="n">
        <v>0</v>
      </c>
      <c r="P53" s="20" t="n">
        <v>0</v>
      </c>
      <c r="Q53" s="18" t="n">
        <v>18.06654022</v>
      </c>
      <c r="R53" s="20" t="n">
        <v>2.1766913</v>
      </c>
    </row>
    <row r="54" spans="1:18">
      <c r="A54" s="15" t="s">
        <v>396</v>
      </c>
      <c r="B54" s="17" t="n">
        <v>2266</v>
      </c>
      <c r="C54" s="18">
        <f>(1908.0/B54*100)</f>
        <v/>
      </c>
      <c r="D54" s="19" t="n">
        <v>358</v>
      </c>
      <c r="E54" s="18" t="n">
        <v>57.90575047</v>
      </c>
      <c r="F54" s="20" t="n">
        <v>2.75790118</v>
      </c>
      <c r="G54" s="18" t="n">
        <v>5.22028936</v>
      </c>
      <c r="H54" s="20" t="n">
        <v>1.46936545</v>
      </c>
      <c r="I54" s="18" t="s">
        <v>349</v>
      </c>
      <c r="J54" s="20" t="s">
        <v>349</v>
      </c>
      <c r="K54" s="18" t="n">
        <v>10.07582191</v>
      </c>
      <c r="L54" s="20" t="n">
        <v>2.18943551</v>
      </c>
      <c r="M54" s="18" t="n">
        <v>0</v>
      </c>
      <c r="N54" s="20" t="n">
        <v>0</v>
      </c>
      <c r="O54" s="18" t="n">
        <v>0</v>
      </c>
      <c r="P54" s="20" t="n">
        <v>0</v>
      </c>
      <c r="Q54" s="18" t="n">
        <v>26.79813826</v>
      </c>
      <c r="R54" s="20" t="n">
        <v>2.6264517</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(2353.0/B56*100)</f>
        <v/>
      </c>
      <c r="D56" s="19" t="n">
        <v>331</v>
      </c>
      <c r="E56" s="18" t="n">
        <v>53.18259326</v>
      </c>
      <c r="F56" s="20" t="n">
        <v>3.20428586</v>
      </c>
      <c r="G56" s="18" t="n">
        <v>42.89134707</v>
      </c>
      <c r="H56" s="20" t="n">
        <v>3.09868241</v>
      </c>
      <c r="I56" s="18" t="s">
        <v>349</v>
      </c>
      <c r="J56" s="20" t="s">
        <v>349</v>
      </c>
      <c r="K56" s="18" t="n">
        <v>0.53569595</v>
      </c>
      <c r="L56" s="20" t="n">
        <v>0.38420123</v>
      </c>
      <c r="M56" s="18" t="n">
        <v>0</v>
      </c>
      <c r="N56" s="20" t="n">
        <v>0</v>
      </c>
      <c r="O56" s="18" t="n">
        <v>0</v>
      </c>
      <c r="P56" s="20" t="n">
        <v>0</v>
      </c>
      <c r="Q56" s="18" t="n">
        <v>3.39036373</v>
      </c>
      <c r="R56" s="20" t="n">
        <v>1.03880252</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(2927.0/B61*100)</f>
        <v/>
      </c>
      <c r="D61" s="19" t="n">
        <v>397</v>
      </c>
      <c r="E61" s="18" t="n">
        <v>54.13944743</v>
      </c>
      <c r="F61" s="20" t="n">
        <v>2.55882618</v>
      </c>
      <c r="G61" s="18" t="n">
        <v>27.57215176</v>
      </c>
      <c r="H61" s="20" t="n">
        <v>2.3837035</v>
      </c>
      <c r="I61" s="18" t="s">
        <v>349</v>
      </c>
      <c r="J61" s="20" t="s">
        <v>349</v>
      </c>
      <c r="K61" s="18" t="n">
        <v>0.31308351</v>
      </c>
      <c r="L61" s="20" t="n">
        <v>0.31264364</v>
      </c>
      <c r="M61" s="18" t="n">
        <v>0</v>
      </c>
      <c r="N61" s="20" t="n">
        <v>0</v>
      </c>
      <c r="O61" s="18" t="n">
        <v>0</v>
      </c>
      <c r="P61" s="20" t="n">
        <v>0</v>
      </c>
      <c r="Q61" s="18" t="n">
        <v>17.9753173</v>
      </c>
      <c r="R61" s="20" t="n">
        <v>2.1447027</v>
      </c>
    </row>
    <row r="62" spans="1:18">
      <c r="A62" s="15" t="s">
        <v>404</v>
      </c>
      <c r="B62" s="17" t="n">
        <v>2246</v>
      </c>
      <c r="C62" s="18">
        <f>(1969.0/B62*100)</f>
        <v/>
      </c>
      <c r="D62" s="19" t="n">
        <v>277</v>
      </c>
      <c r="E62" s="18" t="n">
        <v>57.72384375</v>
      </c>
      <c r="F62" s="20" t="n">
        <v>2.60301145</v>
      </c>
      <c r="G62" s="18" t="n">
        <v>39.74981514</v>
      </c>
      <c r="H62" s="20" t="n">
        <v>2.74300218</v>
      </c>
      <c r="I62" s="18" t="s">
        <v>349</v>
      </c>
      <c r="J62" s="20" t="s">
        <v>349</v>
      </c>
      <c r="K62" s="18" t="n">
        <v>0</v>
      </c>
      <c r="L62" s="20" t="n">
        <v>0</v>
      </c>
      <c r="M62" s="18" t="n">
        <v>0</v>
      </c>
      <c r="N62" s="20" t="n">
        <v>0</v>
      </c>
      <c r="O62" s="18" t="n">
        <v>0</v>
      </c>
      <c r="P62" s="20" t="n">
        <v>0</v>
      </c>
      <c r="Q62" s="18" t="n">
        <v>2.52634111</v>
      </c>
      <c r="R62" s="20" t="n">
        <v>0.88817924</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(2543.0/B66*100)</f>
        <v/>
      </c>
      <c r="D66" s="19" t="n">
        <v>351</v>
      </c>
      <c r="E66" s="18" t="n">
        <v>50.40533572</v>
      </c>
      <c r="F66" s="20" t="n">
        <v>2.79022976</v>
      </c>
      <c r="G66" s="18" t="n">
        <v>13.87518296</v>
      </c>
      <c r="H66" s="20" t="n">
        <v>1.59772126</v>
      </c>
      <c r="I66" s="18" t="s">
        <v>349</v>
      </c>
      <c r="J66" s="20" t="s">
        <v>349</v>
      </c>
      <c r="K66" s="18" t="n">
        <v>0.78557618</v>
      </c>
      <c r="L66" s="20" t="n">
        <v>0.45573642</v>
      </c>
      <c r="M66" s="18" t="n">
        <v>0</v>
      </c>
      <c r="N66" s="20" t="n">
        <v>0</v>
      </c>
      <c r="O66" s="18" t="n">
        <v>0</v>
      </c>
      <c r="P66" s="20" t="n">
        <v>0</v>
      </c>
      <c r="Q66" s="18" t="n">
        <v>34.93390514</v>
      </c>
      <c r="R66" s="20" t="n">
        <v>2.68797801</v>
      </c>
    </row>
    <row r="67" spans="1:18">
      <c r="A67" s="15" t="s">
        <v>409</v>
      </c>
      <c r="B67" s="17" t="n">
        <v>3511</v>
      </c>
      <c r="C67" s="18">
        <f>(3108.0/B67*100)</f>
        <v/>
      </c>
      <c r="D67" s="19" t="n">
        <v>403</v>
      </c>
      <c r="E67" s="18" t="n">
        <v>68.27076242</v>
      </c>
      <c r="F67" s="20" t="n">
        <v>2.36235045</v>
      </c>
      <c r="G67" s="18" t="n">
        <v>8.86671471</v>
      </c>
      <c r="H67" s="20" t="n">
        <v>1.655604</v>
      </c>
      <c r="I67" s="18" t="s">
        <v>349</v>
      </c>
      <c r="J67" s="20" t="s">
        <v>349</v>
      </c>
      <c r="K67" s="18" t="n">
        <v>0.19697716</v>
      </c>
      <c r="L67" s="20" t="n">
        <v>0.20279038</v>
      </c>
      <c r="M67" s="18" t="n">
        <v>0</v>
      </c>
      <c r="N67" s="20" t="n">
        <v>0</v>
      </c>
      <c r="O67" s="18" t="n">
        <v>0</v>
      </c>
      <c r="P67" s="20" t="n">
        <v>0</v>
      </c>
      <c r="Q67" s="18" t="n">
        <v>22.66554571</v>
      </c>
      <c r="R67" s="20" t="n">
        <v>2.14766449</v>
      </c>
    </row>
    <row r="68" spans="1:18">
      <c r="A68" s="15" t="s">
        <v>410</v>
      </c>
      <c r="B68" s="17" t="n">
        <v>6049</v>
      </c>
      <c r="C68" s="18">
        <f>(5059.0/B68*100)</f>
        <v/>
      </c>
      <c r="D68" s="19" t="n">
        <v>990</v>
      </c>
      <c r="E68" s="18" t="n">
        <v>64.47592724</v>
      </c>
      <c r="F68" s="20" t="n">
        <v>1.48941104</v>
      </c>
      <c r="G68" s="18" t="n">
        <v>14.91381923</v>
      </c>
      <c r="H68" s="20" t="n">
        <v>1.18254943</v>
      </c>
      <c r="I68" s="18" t="s">
        <v>349</v>
      </c>
      <c r="J68" s="20" t="s">
        <v>349</v>
      </c>
      <c r="K68" s="18" t="n">
        <v>3.29857963</v>
      </c>
      <c r="L68" s="20" t="n">
        <v>0.5365062</v>
      </c>
      <c r="M68" s="18" t="n">
        <v>0</v>
      </c>
      <c r="N68" s="20" t="n">
        <v>0</v>
      </c>
      <c r="O68" s="18" t="n">
        <v>0</v>
      </c>
      <c r="P68" s="20" t="n">
        <v>0</v>
      </c>
      <c r="Q68" s="18" t="n">
        <v>17.3116739</v>
      </c>
      <c r="R68" s="20" t="n">
        <v>1.31028318</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(2553.0/B70*100)</f>
        <v/>
      </c>
      <c r="D70" s="19" t="n">
        <v>376</v>
      </c>
      <c r="E70" s="18" t="n">
        <v>60.1443449</v>
      </c>
      <c r="F70" s="20" t="n">
        <v>2.55589334</v>
      </c>
      <c r="G70" s="18" t="n">
        <v>31.65403655</v>
      </c>
      <c r="H70" s="20" t="n">
        <v>2.4323088</v>
      </c>
      <c r="I70" s="18" t="s">
        <v>349</v>
      </c>
      <c r="J70" s="20" t="s">
        <v>349</v>
      </c>
      <c r="K70" s="18" t="n">
        <v>0.17208629</v>
      </c>
      <c r="L70" s="20" t="n">
        <v>0.17429666</v>
      </c>
      <c r="M70" s="18" t="n">
        <v>0</v>
      </c>
      <c r="N70" s="20" t="n">
        <v>0</v>
      </c>
      <c r="O70" s="18" t="n">
        <v>0</v>
      </c>
      <c r="P70" s="20" t="n">
        <v>0</v>
      </c>
      <c r="Q70" s="18" t="n">
        <v>8.02953226</v>
      </c>
      <c r="R70" s="20" t="n">
        <v>1.65363431</v>
      </c>
    </row>
    <row r="71" spans="1:18">
      <c r="A71" s="15" t="s">
        <v>413</v>
      </c>
      <c r="B71" s="17" t="n">
        <v>3142</v>
      </c>
      <c r="C71" s="18">
        <f>(2744.0/B71*100)</f>
        <v/>
      </c>
      <c r="D71" s="19" t="n">
        <v>398</v>
      </c>
      <c r="E71" s="18" t="n">
        <v>50.51162547</v>
      </c>
      <c r="F71" s="20" t="n">
        <v>2.32510945</v>
      </c>
      <c r="G71" s="18" t="n">
        <v>43.6061332</v>
      </c>
      <c r="H71" s="20" t="n">
        <v>2.44956939</v>
      </c>
      <c r="I71" s="18" t="s">
        <v>349</v>
      </c>
      <c r="J71" s="20" t="s">
        <v>349</v>
      </c>
      <c r="K71" s="18" t="n">
        <v>0.29650894</v>
      </c>
      <c r="L71" s="20" t="n">
        <v>0.29606956</v>
      </c>
      <c r="M71" s="18" t="n">
        <v>0</v>
      </c>
      <c r="N71" s="20" t="n">
        <v>0</v>
      </c>
      <c r="O71" s="18" t="n">
        <v>0</v>
      </c>
      <c r="P71" s="20" t="n">
        <v>0</v>
      </c>
      <c r="Q71" s="18" t="n">
        <v>5.58573239</v>
      </c>
      <c r="R71" s="20" t="n">
        <v>1.19969346</v>
      </c>
    </row>
    <row r="72" spans="1:18">
      <c r="A72" s="15" t="s">
        <v>414</v>
      </c>
      <c r="B72" s="17" t="n">
        <v>3889</v>
      </c>
      <c r="C72" s="18">
        <f>(3400.0/B72*100)</f>
        <v/>
      </c>
      <c r="D72" s="19" t="n">
        <v>489</v>
      </c>
      <c r="E72" s="18" t="n">
        <v>61.09088324</v>
      </c>
      <c r="F72" s="20" t="n">
        <v>2.26210647</v>
      </c>
      <c r="G72" s="18" t="n">
        <v>30.65345731</v>
      </c>
      <c r="H72" s="20" t="n">
        <v>2.04374768</v>
      </c>
      <c r="I72" s="18" t="s">
        <v>349</v>
      </c>
      <c r="J72" s="20" t="s">
        <v>349</v>
      </c>
      <c r="K72" s="18" t="n">
        <v>0.13802749</v>
      </c>
      <c r="L72" s="20" t="n">
        <v>0.13989785</v>
      </c>
      <c r="M72" s="18" t="n">
        <v>0</v>
      </c>
      <c r="N72" s="20" t="n">
        <v>0</v>
      </c>
      <c r="O72" s="18" t="n">
        <v>0</v>
      </c>
      <c r="P72" s="20" t="n">
        <v>0</v>
      </c>
      <c r="Q72" s="18" t="n">
        <v>8.117631960000001</v>
      </c>
      <c r="R72" s="20" t="n">
        <v>1.45714347</v>
      </c>
    </row>
    <row r="73" spans="1:18">
      <c r="A73" s="15" t="s">
        <v>415</v>
      </c>
      <c r="B73" s="17" t="n">
        <v>3597</v>
      </c>
      <c r="C73" s="18">
        <f>(3173.0/B73*100)</f>
        <v/>
      </c>
      <c r="D73" s="19" t="n">
        <v>424</v>
      </c>
      <c r="E73" s="18" t="n">
        <v>75.20932922</v>
      </c>
      <c r="F73" s="20" t="n">
        <v>2.77575994</v>
      </c>
      <c r="G73" s="18" t="n">
        <v>22.49151193</v>
      </c>
      <c r="H73" s="20" t="n">
        <v>2.79060249</v>
      </c>
      <c r="I73" s="18" t="s">
        <v>349</v>
      </c>
      <c r="J73" s="20" t="s">
        <v>349</v>
      </c>
      <c r="K73" s="18" t="n">
        <v>0</v>
      </c>
      <c r="L73" s="20" t="n">
        <v>0</v>
      </c>
      <c r="M73" s="18" t="n">
        <v>0</v>
      </c>
      <c r="N73" s="20" t="n">
        <v>0</v>
      </c>
      <c r="O73" s="18" t="n">
        <v>0</v>
      </c>
      <c r="P73" s="20" t="n">
        <v>0</v>
      </c>
      <c r="Q73" s="18" t="n">
        <v>2.29915885</v>
      </c>
      <c r="R73" s="20" t="n">
        <v>0.94357398</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(2145.0/B75*100)</f>
        <v/>
      </c>
      <c r="D75" s="19" t="n">
        <v>261</v>
      </c>
      <c r="E75" s="18" t="n">
        <v>55.28056786</v>
      </c>
      <c r="F75" s="20" t="n">
        <v>3.60144597</v>
      </c>
      <c r="G75" s="18" t="n">
        <v>22.96741194</v>
      </c>
      <c r="H75" s="20" t="n">
        <v>2.91542179</v>
      </c>
      <c r="I75" s="18" t="s">
        <v>349</v>
      </c>
      <c r="J75" s="20" t="s">
        <v>349</v>
      </c>
      <c r="K75" s="18" t="n">
        <v>4.11998361</v>
      </c>
      <c r="L75" s="20" t="n">
        <v>1.47910439</v>
      </c>
      <c r="M75" s="18" t="n">
        <v>0</v>
      </c>
      <c r="N75" s="20" t="n">
        <v>0</v>
      </c>
      <c r="O75" s="18" t="n">
        <v>0</v>
      </c>
      <c r="P75" s="20" t="n">
        <v>0</v>
      </c>
      <c r="Q75" s="18" t="n">
        <v>17.6320366</v>
      </c>
      <c r="R75" s="20" t="n">
        <v>2.85809827</v>
      </c>
    </row>
    <row r="76" spans="1:18">
      <c r="A76" s="15" t="s">
        <v>418</v>
      </c>
      <c r="B76" s="17" t="n">
        <v>7052</v>
      </c>
      <c r="C76" s="18">
        <f>(6200.0/B76*100)</f>
        <v/>
      </c>
      <c r="D76" s="19" t="n">
        <v>852</v>
      </c>
      <c r="E76" s="18" t="n">
        <v>71.4213534</v>
      </c>
      <c r="F76" s="20" t="n">
        <v>2.3638889</v>
      </c>
      <c r="G76" s="18" t="n">
        <v>18.96448861</v>
      </c>
      <c r="H76" s="20" t="n">
        <v>1.85695237</v>
      </c>
      <c r="I76" s="18" t="s">
        <v>349</v>
      </c>
      <c r="J76" s="20" t="s">
        <v>349</v>
      </c>
      <c r="K76" s="18" t="n">
        <v>1.0472861</v>
      </c>
      <c r="L76" s="20" t="n">
        <v>0.40135264</v>
      </c>
      <c r="M76" s="18" t="n">
        <v>0</v>
      </c>
      <c r="N76" s="20" t="n">
        <v>0</v>
      </c>
      <c r="O76" s="18" t="n">
        <v>0</v>
      </c>
      <c r="P76" s="20" t="n">
        <v>0</v>
      </c>
      <c r="Q76" s="18" t="n">
        <v>8.566871880000001</v>
      </c>
      <c r="R76" s="20" t="n">
        <v>1.32022868</v>
      </c>
    </row>
    <row r="77" spans="1:18">
      <c r="A77" s="15" t="s">
        <v>419</v>
      </c>
      <c r="B77" s="17" t="n">
        <v>2908</v>
      </c>
      <c r="C77" s="18">
        <f>(2563.0/B77*100)</f>
        <v/>
      </c>
      <c r="D77" s="19" t="n">
        <v>345</v>
      </c>
      <c r="E77" s="18" t="n">
        <v>45.91495811</v>
      </c>
      <c r="F77" s="20" t="n">
        <v>3.34956017</v>
      </c>
      <c r="G77" s="18" t="n">
        <v>17.87357489</v>
      </c>
      <c r="H77" s="20" t="n">
        <v>2.2309233</v>
      </c>
      <c r="I77" s="18" t="s">
        <v>349</v>
      </c>
      <c r="J77" s="20" t="s">
        <v>349</v>
      </c>
      <c r="K77" s="18" t="n">
        <v>1.6938186</v>
      </c>
      <c r="L77" s="20" t="n">
        <v>0.74262303</v>
      </c>
      <c r="M77" s="18" t="n">
        <v>0</v>
      </c>
      <c r="N77" s="20" t="n">
        <v>0</v>
      </c>
      <c r="O77" s="18" t="n">
        <v>0</v>
      </c>
      <c r="P77" s="20" t="n">
        <v>0</v>
      </c>
      <c r="Q77" s="18" t="n">
        <v>34.5176484</v>
      </c>
      <c r="R77" s="20" t="n">
        <v>3.36957846</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(3642.0/B81*100)</f>
        <v/>
      </c>
      <c r="D81" s="19" t="n">
        <v>521</v>
      </c>
      <c r="E81" s="18" t="n">
        <v>65.45872306</v>
      </c>
      <c r="F81" s="20" t="n">
        <v>2.35508902</v>
      </c>
      <c r="G81" s="18" t="n">
        <v>30.0983778</v>
      </c>
      <c r="H81" s="20" t="n">
        <v>2.2077688</v>
      </c>
      <c r="I81" s="18" t="s">
        <v>349</v>
      </c>
      <c r="J81" s="20" t="s">
        <v>349</v>
      </c>
      <c r="K81" s="18" t="n">
        <v>0</v>
      </c>
      <c r="L81" s="20" t="n">
        <v>0</v>
      </c>
      <c r="M81" s="18" t="n">
        <v>0</v>
      </c>
      <c r="N81" s="20" t="n">
        <v>0</v>
      </c>
      <c r="O81" s="18" t="n">
        <v>0</v>
      </c>
      <c r="P81" s="20" t="n">
        <v>0</v>
      </c>
      <c r="Q81" s="18" t="n">
        <v>4.44289914</v>
      </c>
      <c r="R81" s="20" t="n">
        <v>1.18366086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(6452.0/B7*100)</f>
        <v/>
      </c>
      <c r="D7" s="19" t="n">
        <v>915</v>
      </c>
      <c r="E7" s="18" t="n">
        <v>70.69630678</v>
      </c>
      <c r="F7" s="20" t="n">
        <v>1.6094726</v>
      </c>
      <c r="G7" s="18" t="n">
        <v>24.54607065</v>
      </c>
      <c r="H7" s="20" t="n">
        <v>1.44457568</v>
      </c>
      <c r="I7" s="18" t="s">
        <v>349</v>
      </c>
      <c r="J7" s="20" t="s">
        <v>349</v>
      </c>
      <c r="K7" s="18" t="n">
        <v>1.07230829</v>
      </c>
      <c r="L7" s="20" t="n">
        <v>0.5084008800000001</v>
      </c>
      <c r="M7" s="18" t="n">
        <v>0</v>
      </c>
      <c r="N7" s="20" t="n">
        <v>0</v>
      </c>
      <c r="O7" s="18" t="n">
        <v>0</v>
      </c>
      <c r="P7" s="20" t="n">
        <v>0</v>
      </c>
      <c r="Q7" s="18" t="n">
        <v>3.68531428</v>
      </c>
      <c r="R7" s="20" t="n">
        <v>0.70211494</v>
      </c>
    </row>
    <row r="8" spans="1:18">
      <c r="A8" s="15" t="s">
        <v>350</v>
      </c>
      <c r="B8" s="17" t="n">
        <v>3564</v>
      </c>
      <c r="C8" s="18">
        <f>(3129.0/B8*100)</f>
        <v/>
      </c>
      <c r="D8" s="19" t="n">
        <v>435</v>
      </c>
      <c r="E8" s="18" t="n">
        <v>67.22368394999999</v>
      </c>
      <c r="F8" s="20" t="n">
        <v>2.79661759</v>
      </c>
      <c r="G8" s="18" t="n">
        <v>30.54658999</v>
      </c>
      <c r="H8" s="20" t="n">
        <v>2.51413798</v>
      </c>
      <c r="I8" s="18" t="s">
        <v>349</v>
      </c>
      <c r="J8" s="20" t="s">
        <v>349</v>
      </c>
      <c r="K8" s="18" t="n">
        <v>0</v>
      </c>
      <c r="L8" s="20" t="n">
        <v>0</v>
      </c>
      <c r="M8" s="18" t="n">
        <v>0</v>
      </c>
      <c r="N8" s="20" t="n">
        <v>0</v>
      </c>
      <c r="O8" s="18" t="n">
        <v>0</v>
      </c>
      <c r="P8" s="20" t="n">
        <v>0</v>
      </c>
      <c r="Q8" s="18" t="n">
        <v>2.22972606</v>
      </c>
      <c r="R8" s="20" t="n">
        <v>0.5353402</v>
      </c>
    </row>
    <row r="9" spans="1:18">
      <c r="A9" s="15" t="s">
        <v>351</v>
      </c>
      <c r="B9" s="17" t="n">
        <v>4899</v>
      </c>
      <c r="C9" s="18">
        <f>(4344.0/B9*100)</f>
        <v/>
      </c>
      <c r="D9" s="19" t="n">
        <v>555</v>
      </c>
      <c r="E9" s="18" t="n">
        <v>68.37231925</v>
      </c>
      <c r="F9" s="20" t="n">
        <v>2.15109179</v>
      </c>
      <c r="G9" s="18" t="n">
        <v>26.33503361</v>
      </c>
      <c r="H9" s="20" t="n">
        <v>1.99579348</v>
      </c>
      <c r="I9" s="18" t="s">
        <v>349</v>
      </c>
      <c r="J9" s="20" t="s">
        <v>349</v>
      </c>
      <c r="K9" s="18" t="n">
        <v>0.74798433</v>
      </c>
      <c r="L9" s="20" t="n">
        <v>0.3725259</v>
      </c>
      <c r="M9" s="18" t="n">
        <v>0</v>
      </c>
      <c r="N9" s="20" t="n">
        <v>0</v>
      </c>
      <c r="O9" s="18" t="n">
        <v>0</v>
      </c>
      <c r="P9" s="20" t="n">
        <v>0</v>
      </c>
      <c r="Q9" s="18" t="n">
        <v>4.54466281</v>
      </c>
      <c r="R9" s="20" t="n">
        <v>0.89411343</v>
      </c>
    </row>
    <row r="10" spans="1:18">
      <c r="A10" s="15" t="s">
        <v>352</v>
      </c>
      <c r="B10" s="17" t="n">
        <v>10036</v>
      </c>
      <c r="C10" s="18">
        <f>(8832.0/B10*100)</f>
        <v/>
      </c>
      <c r="D10" s="19" t="n">
        <v>1204</v>
      </c>
      <c r="E10" s="18" t="n">
        <v>68.45334996</v>
      </c>
      <c r="F10" s="20" t="n">
        <v>1.85867283</v>
      </c>
      <c r="G10" s="18" t="n">
        <v>28.41234753</v>
      </c>
      <c r="H10" s="20" t="n">
        <v>1.76525126</v>
      </c>
      <c r="I10" s="18" t="s">
        <v>349</v>
      </c>
      <c r="J10" s="20" t="s">
        <v>349</v>
      </c>
      <c r="K10" s="18" t="n">
        <v>1.12567517</v>
      </c>
      <c r="L10" s="20" t="n">
        <v>0.36929935</v>
      </c>
      <c r="M10" s="18" t="n">
        <v>0</v>
      </c>
      <c r="N10" s="20" t="n">
        <v>0</v>
      </c>
      <c r="O10" s="18" t="n">
        <v>0</v>
      </c>
      <c r="P10" s="20" t="n">
        <v>0</v>
      </c>
      <c r="Q10" s="18" t="n">
        <v>2.00862735</v>
      </c>
      <c r="R10" s="20" t="n">
        <v>0.55507435</v>
      </c>
    </row>
    <row r="11" spans="1:18">
      <c r="A11" s="15" t="s">
        <v>353</v>
      </c>
      <c r="B11" s="17" t="n">
        <v>3553</v>
      </c>
      <c r="C11" s="18">
        <f>(3140.0/B11*100)</f>
        <v/>
      </c>
      <c r="D11" s="19" t="n">
        <v>413</v>
      </c>
      <c r="E11" s="18" t="n">
        <v>82.12123004999999</v>
      </c>
      <c r="F11" s="20" t="n">
        <v>2.10308652</v>
      </c>
      <c r="G11" s="18" t="n">
        <v>8.141854779999999</v>
      </c>
      <c r="H11" s="20" t="n">
        <v>1.37897765</v>
      </c>
      <c r="I11" s="18" t="s">
        <v>349</v>
      </c>
      <c r="J11" s="20" t="s">
        <v>349</v>
      </c>
      <c r="K11" s="18" t="n">
        <v>2.70977389</v>
      </c>
      <c r="L11" s="20" t="n">
        <v>1.05832056</v>
      </c>
      <c r="M11" s="18" t="n">
        <v>0</v>
      </c>
      <c r="N11" s="20" t="n">
        <v>0</v>
      </c>
      <c r="O11" s="18" t="n">
        <v>0</v>
      </c>
      <c r="P11" s="20" t="n">
        <v>0</v>
      </c>
      <c r="Q11" s="18" t="n">
        <v>7.02714128</v>
      </c>
      <c r="R11" s="20" t="n">
        <v>1.44998615</v>
      </c>
    </row>
    <row r="12" spans="1:18">
      <c r="A12" s="15" t="s">
        <v>354</v>
      </c>
      <c r="B12" s="17" t="n">
        <v>3472</v>
      </c>
      <c r="C12" s="18">
        <f>(3057.0/B12*100)</f>
        <v/>
      </c>
      <c r="D12" s="19" t="n">
        <v>415</v>
      </c>
      <c r="E12" s="18" t="n">
        <v>70.90594475</v>
      </c>
      <c r="F12" s="20" t="n">
        <v>2.83717344</v>
      </c>
      <c r="G12" s="18" t="n">
        <v>25.37882919</v>
      </c>
      <c r="H12" s="20" t="n">
        <v>2.77031883</v>
      </c>
      <c r="I12" s="18" t="s">
        <v>349</v>
      </c>
      <c r="J12" s="20" t="s">
        <v>349</v>
      </c>
      <c r="K12" s="18" t="n">
        <v>0.25165775</v>
      </c>
      <c r="L12" s="20" t="n">
        <v>0.24771753</v>
      </c>
      <c r="M12" s="18" t="n">
        <v>0</v>
      </c>
      <c r="N12" s="20" t="n">
        <v>0</v>
      </c>
      <c r="O12" s="18" t="n">
        <v>0</v>
      </c>
      <c r="P12" s="20" t="n">
        <v>0</v>
      </c>
      <c r="Q12" s="18" t="n">
        <v>3.4635683</v>
      </c>
      <c r="R12" s="20" t="n">
        <v>1.0806967</v>
      </c>
    </row>
    <row r="13" spans="1:18">
      <c r="A13" s="15" t="s">
        <v>355</v>
      </c>
      <c r="B13" s="17" t="n">
        <v>3559</v>
      </c>
      <c r="C13" s="18">
        <f>(3142.0/B13*100)</f>
        <v/>
      </c>
      <c r="D13" s="19" t="n">
        <v>417</v>
      </c>
      <c r="E13" s="18" t="n">
        <v>74.58446553</v>
      </c>
      <c r="F13" s="20" t="n">
        <v>2.48127118</v>
      </c>
      <c r="G13" s="18" t="n">
        <v>20.32168244</v>
      </c>
      <c r="H13" s="20" t="n">
        <v>2.43704822</v>
      </c>
      <c r="I13" s="18" t="s">
        <v>349</v>
      </c>
      <c r="J13" s="20" t="s">
        <v>349</v>
      </c>
      <c r="K13" s="18" t="n">
        <v>0.85101088</v>
      </c>
      <c r="L13" s="20" t="n">
        <v>0.60191578</v>
      </c>
      <c r="M13" s="18" t="n">
        <v>0</v>
      </c>
      <c r="N13" s="20" t="n">
        <v>0</v>
      </c>
      <c r="O13" s="18" t="n">
        <v>0</v>
      </c>
      <c r="P13" s="20" t="n">
        <v>0</v>
      </c>
      <c r="Q13" s="18" t="n">
        <v>4.24284116</v>
      </c>
      <c r="R13" s="20" t="n">
        <v>1.23620257</v>
      </c>
    </row>
    <row r="14" spans="1:18">
      <c r="A14" s="15" t="s">
        <v>356</v>
      </c>
      <c r="B14" s="17" t="n">
        <v>2799</v>
      </c>
      <c r="C14" s="18">
        <f>(2478.0/B14*100)</f>
        <v/>
      </c>
      <c r="D14" s="19" t="n">
        <v>321</v>
      </c>
      <c r="E14" s="18" t="n">
        <v>72.30216321</v>
      </c>
      <c r="F14" s="20" t="n">
        <v>2.98138297</v>
      </c>
      <c r="G14" s="18" t="n">
        <v>23.58848572</v>
      </c>
      <c r="H14" s="20" t="n">
        <v>2.76765181</v>
      </c>
      <c r="I14" s="18" t="s">
        <v>349</v>
      </c>
      <c r="J14" s="20" t="s">
        <v>349</v>
      </c>
      <c r="K14" s="18" t="n">
        <v>1.36305546</v>
      </c>
      <c r="L14" s="20" t="n">
        <v>1.18671787</v>
      </c>
      <c r="M14" s="18" t="n">
        <v>0</v>
      </c>
      <c r="N14" s="20" t="n">
        <v>0</v>
      </c>
      <c r="O14" s="18" t="n">
        <v>0</v>
      </c>
      <c r="P14" s="20" t="n">
        <v>0</v>
      </c>
      <c r="Q14" s="18" t="n">
        <v>2.7462956</v>
      </c>
      <c r="R14" s="20" t="n">
        <v>0.99847908</v>
      </c>
    </row>
    <row r="15" spans="1:18">
      <c r="A15" s="15" t="s">
        <v>357</v>
      </c>
      <c r="B15" s="17" t="n">
        <v>3019</v>
      </c>
      <c r="C15" s="18">
        <f>(2652.0/B15*100)</f>
        <v/>
      </c>
      <c r="D15" s="19" t="n">
        <v>367</v>
      </c>
      <c r="E15" s="18" t="n">
        <v>67.76622535</v>
      </c>
      <c r="F15" s="20" t="n">
        <v>2.55745703</v>
      </c>
      <c r="G15" s="18" t="n">
        <v>26.63607389</v>
      </c>
      <c r="H15" s="20" t="n">
        <v>2.43014156</v>
      </c>
      <c r="I15" s="18" t="s">
        <v>349</v>
      </c>
      <c r="J15" s="20" t="s">
        <v>349</v>
      </c>
      <c r="K15" s="18" t="n">
        <v>0.24517511</v>
      </c>
      <c r="L15" s="20" t="n">
        <v>0.24516315</v>
      </c>
      <c r="M15" s="18" t="n">
        <v>0</v>
      </c>
      <c r="N15" s="20" t="n">
        <v>0</v>
      </c>
      <c r="O15" s="18" t="n">
        <v>0</v>
      </c>
      <c r="P15" s="20" t="n">
        <v>0</v>
      </c>
      <c r="Q15" s="18" t="n">
        <v>5.35252566</v>
      </c>
      <c r="R15" s="20" t="n">
        <v>1.19222336</v>
      </c>
    </row>
    <row r="16" spans="1:18">
      <c r="A16" s="15" t="s">
        <v>358</v>
      </c>
      <c r="B16" s="17" t="n">
        <v>2997</v>
      </c>
      <c r="C16" s="18">
        <f>(2642.0/B16*100)</f>
        <v/>
      </c>
      <c r="D16" s="19" t="n">
        <v>355</v>
      </c>
      <c r="E16" s="18" t="n">
        <v>73.80440614</v>
      </c>
      <c r="F16" s="20" t="n">
        <v>2.60355794</v>
      </c>
      <c r="G16" s="18" t="n">
        <v>20.43857647</v>
      </c>
      <c r="H16" s="20" t="n">
        <v>2.41499696</v>
      </c>
      <c r="I16" s="18" t="s">
        <v>349</v>
      </c>
      <c r="J16" s="20" t="s">
        <v>349</v>
      </c>
      <c r="K16" s="18" t="n">
        <v>1.47876064</v>
      </c>
      <c r="L16" s="20" t="n">
        <v>0.7394545300000001</v>
      </c>
      <c r="M16" s="18" t="n">
        <v>0</v>
      </c>
      <c r="N16" s="20" t="n">
        <v>0</v>
      </c>
      <c r="O16" s="18" t="n">
        <v>0</v>
      </c>
      <c r="P16" s="20" t="n">
        <v>0</v>
      </c>
      <c r="Q16" s="18" t="n">
        <v>4.27825675</v>
      </c>
      <c r="R16" s="20" t="n">
        <v>1.2824107</v>
      </c>
    </row>
    <row r="17" spans="1:18">
      <c r="A17" s="15" t="s">
        <v>359</v>
      </c>
      <c r="B17" s="17" t="n">
        <v>3307</v>
      </c>
      <c r="C17" s="18">
        <f>(2895.0/B17*100)</f>
        <v/>
      </c>
      <c r="D17" s="19" t="n">
        <v>412</v>
      </c>
      <c r="E17" s="18" t="n">
        <v>60.51209412</v>
      </c>
      <c r="F17" s="20" t="n">
        <v>2.41252709</v>
      </c>
      <c r="G17" s="18" t="n">
        <v>36.46380584</v>
      </c>
      <c r="H17" s="20" t="n">
        <v>2.35521353</v>
      </c>
      <c r="I17" s="18" t="s">
        <v>349</v>
      </c>
      <c r="J17" s="20" t="s">
        <v>349</v>
      </c>
      <c r="K17" s="18" t="n">
        <v>0.71316428</v>
      </c>
      <c r="L17" s="20" t="n">
        <v>0.44568424</v>
      </c>
      <c r="M17" s="18" t="n">
        <v>0</v>
      </c>
      <c r="N17" s="20" t="n">
        <v>0</v>
      </c>
      <c r="O17" s="18" t="n">
        <v>0</v>
      </c>
      <c r="P17" s="20" t="n">
        <v>0</v>
      </c>
      <c r="Q17" s="18" t="n">
        <v>2.31093576</v>
      </c>
      <c r="R17" s="20" t="n">
        <v>0.77953662</v>
      </c>
    </row>
    <row r="18" spans="1:18">
      <c r="A18" s="15" t="s">
        <v>360</v>
      </c>
      <c r="B18" s="17" t="n">
        <v>2826</v>
      </c>
      <c r="C18" s="18">
        <f>(2486.0/B18*100)</f>
        <v/>
      </c>
      <c r="D18" s="19" t="n">
        <v>340</v>
      </c>
      <c r="E18" s="18" t="n">
        <v>81.01765313999999</v>
      </c>
      <c r="F18" s="20" t="n">
        <v>2.4390863</v>
      </c>
      <c r="G18" s="18" t="n">
        <v>13.73724831</v>
      </c>
      <c r="H18" s="20" t="n">
        <v>2.16455656</v>
      </c>
      <c r="I18" s="18" t="s">
        <v>349</v>
      </c>
      <c r="J18" s="20" t="s">
        <v>349</v>
      </c>
      <c r="K18" s="18" t="n">
        <v>1.86494645</v>
      </c>
      <c r="L18" s="20" t="n">
        <v>0.86813753</v>
      </c>
      <c r="M18" s="18" t="n">
        <v>0</v>
      </c>
      <c r="N18" s="20" t="n">
        <v>0</v>
      </c>
      <c r="O18" s="18" t="n">
        <v>0</v>
      </c>
      <c r="P18" s="20" t="n">
        <v>0</v>
      </c>
      <c r="Q18" s="18" t="n">
        <v>3.3801521</v>
      </c>
      <c r="R18" s="20" t="n">
        <v>0.9921982499999999</v>
      </c>
    </row>
    <row r="19" spans="1:18">
      <c r="A19" s="15" t="s">
        <v>361</v>
      </c>
      <c r="B19" s="17" t="n">
        <v>2808</v>
      </c>
      <c r="C19" s="18">
        <f>(2461.0/B19*100)</f>
        <v/>
      </c>
      <c r="D19" s="19" t="n">
        <v>347</v>
      </c>
      <c r="E19" s="18" t="n">
        <v>73.96447771</v>
      </c>
      <c r="F19" s="20" t="n">
        <v>2.95239164</v>
      </c>
      <c r="G19" s="18" t="n">
        <v>20.8697052</v>
      </c>
      <c r="H19" s="20" t="n">
        <v>2.59137325</v>
      </c>
      <c r="I19" s="18" t="s">
        <v>349</v>
      </c>
      <c r="J19" s="20" t="s">
        <v>349</v>
      </c>
      <c r="K19" s="18" t="n">
        <v>0.6475903200000001</v>
      </c>
      <c r="L19" s="20" t="n">
        <v>0.60790197</v>
      </c>
      <c r="M19" s="18" t="n">
        <v>0</v>
      </c>
      <c r="N19" s="20" t="n">
        <v>0</v>
      </c>
      <c r="O19" s="18" t="n">
        <v>0</v>
      </c>
      <c r="P19" s="20" t="n">
        <v>0</v>
      </c>
      <c r="Q19" s="18" t="n">
        <v>4.51822677</v>
      </c>
      <c r="R19" s="20" t="n">
        <v>1.26183756</v>
      </c>
    </row>
    <row r="20" spans="1:18">
      <c r="A20" s="15" t="s">
        <v>362</v>
      </c>
      <c r="B20" s="17" t="n">
        <v>1630</v>
      </c>
      <c r="C20" s="18">
        <f>(1434.0/B20*100)</f>
        <v/>
      </c>
      <c r="D20" s="19" t="n">
        <v>196</v>
      </c>
      <c r="E20" s="18" t="n">
        <v>74.97584016</v>
      </c>
      <c r="F20" s="20" t="n">
        <v>3.24628536</v>
      </c>
      <c r="G20" s="18" t="n">
        <v>19.49767899</v>
      </c>
      <c r="H20" s="20" t="n">
        <v>2.97856261</v>
      </c>
      <c r="I20" s="18" t="s">
        <v>349</v>
      </c>
      <c r="J20" s="20" t="s">
        <v>349</v>
      </c>
      <c r="K20" s="18" t="n">
        <v>1.01511619</v>
      </c>
      <c r="L20" s="20" t="n">
        <v>0.7243669700000001</v>
      </c>
      <c r="M20" s="18" t="n">
        <v>0</v>
      </c>
      <c r="N20" s="20" t="n">
        <v>0</v>
      </c>
      <c r="O20" s="18" t="n">
        <v>0</v>
      </c>
      <c r="P20" s="20" t="n">
        <v>0</v>
      </c>
      <c r="Q20" s="18" t="n">
        <v>4.51136466</v>
      </c>
      <c r="R20" s="20" t="n">
        <v>1.79053873</v>
      </c>
    </row>
    <row r="21" spans="1:18">
      <c r="A21" s="15" t="s">
        <v>363</v>
      </c>
      <c r="B21" s="17" t="n">
        <v>2908</v>
      </c>
      <c r="C21" s="18">
        <f>(2416.0/B21*100)</f>
        <v/>
      </c>
      <c r="D21" s="19" t="n">
        <v>492</v>
      </c>
      <c r="E21" s="18" t="n">
        <v>71.97821678</v>
      </c>
      <c r="F21" s="20" t="n">
        <v>2.1614088</v>
      </c>
      <c r="G21" s="18" t="n">
        <v>24.97812344</v>
      </c>
      <c r="H21" s="20" t="n">
        <v>2.04259922</v>
      </c>
      <c r="I21" s="18" t="s">
        <v>349</v>
      </c>
      <c r="J21" s="20" t="s">
        <v>349</v>
      </c>
      <c r="K21" s="18" t="n">
        <v>0.42562606</v>
      </c>
      <c r="L21" s="20" t="n">
        <v>0.30095053</v>
      </c>
      <c r="M21" s="18" t="n">
        <v>0</v>
      </c>
      <c r="N21" s="20" t="n">
        <v>0</v>
      </c>
      <c r="O21" s="18" t="n">
        <v>0</v>
      </c>
      <c r="P21" s="20" t="n">
        <v>0</v>
      </c>
      <c r="Q21" s="18" t="n">
        <v>2.61803372</v>
      </c>
      <c r="R21" s="20" t="n">
        <v>0.7386684100000001</v>
      </c>
    </row>
    <row r="22" spans="1:18">
      <c r="A22" s="15" t="s">
        <v>364</v>
      </c>
      <c r="B22" s="17" t="n">
        <v>2931</v>
      </c>
      <c r="C22" s="18">
        <f>(2579.0/B22*100)</f>
        <v/>
      </c>
      <c r="D22" s="19" t="n">
        <v>352</v>
      </c>
      <c r="E22" s="18" t="n">
        <v>75.73386777</v>
      </c>
      <c r="F22" s="20" t="n">
        <v>2.79360585</v>
      </c>
      <c r="G22" s="18" t="n">
        <v>20.16256642</v>
      </c>
      <c r="H22" s="20" t="n">
        <v>2.85685151</v>
      </c>
      <c r="I22" s="18" t="s">
        <v>349</v>
      </c>
      <c r="J22" s="20" t="s">
        <v>349</v>
      </c>
      <c r="K22" s="18" t="n">
        <v>1.06245789</v>
      </c>
      <c r="L22" s="20" t="n">
        <v>0.65802329</v>
      </c>
      <c r="M22" s="18" t="n">
        <v>0</v>
      </c>
      <c r="N22" s="20" t="n">
        <v>0</v>
      </c>
      <c r="O22" s="18" t="n">
        <v>0</v>
      </c>
      <c r="P22" s="20" t="n">
        <v>0</v>
      </c>
      <c r="Q22" s="18" t="n">
        <v>3.04110792</v>
      </c>
      <c r="R22" s="20" t="n">
        <v>0.91729552</v>
      </c>
    </row>
    <row r="23" spans="1:18">
      <c r="A23" s="15" t="s">
        <v>365</v>
      </c>
      <c r="B23" s="17" t="n">
        <v>5791</v>
      </c>
      <c r="C23" s="18">
        <f>(5076.0/B23*100)</f>
        <v/>
      </c>
      <c r="D23" s="19" t="n">
        <v>715</v>
      </c>
      <c r="E23" s="18" t="n">
        <v>63.41131838</v>
      </c>
      <c r="F23" s="20" t="n">
        <v>2.10998708</v>
      </c>
      <c r="G23" s="18" t="n">
        <v>32.46186185</v>
      </c>
      <c r="H23" s="20" t="n">
        <v>2.13322118</v>
      </c>
      <c r="I23" s="18" t="s">
        <v>349</v>
      </c>
      <c r="J23" s="20" t="s">
        <v>349</v>
      </c>
      <c r="K23" s="18" t="n">
        <v>0.33927744</v>
      </c>
      <c r="L23" s="20" t="n">
        <v>0.28101089</v>
      </c>
      <c r="M23" s="18" t="n">
        <v>0</v>
      </c>
      <c r="N23" s="20" t="n">
        <v>0</v>
      </c>
      <c r="O23" s="18" t="n">
        <v>0</v>
      </c>
      <c r="P23" s="20" t="n">
        <v>0</v>
      </c>
      <c r="Q23" s="18" t="n">
        <v>3.78754234</v>
      </c>
      <c r="R23" s="20" t="n">
        <v>1.01072976</v>
      </c>
    </row>
    <row r="24" spans="1:18">
      <c r="A24" s="15" t="s">
        <v>366</v>
      </c>
      <c r="B24" s="17" t="n">
        <v>3338</v>
      </c>
      <c r="C24" s="18">
        <f>(2924.0/B24*100)</f>
        <v/>
      </c>
      <c r="D24" s="19" t="n">
        <v>414</v>
      </c>
      <c r="E24" s="18" t="n">
        <v>56.2879406</v>
      </c>
      <c r="F24" s="20" t="n">
        <v>2.31978365</v>
      </c>
      <c r="G24" s="18" t="n">
        <v>39.78485471</v>
      </c>
      <c r="H24" s="20" t="n">
        <v>2.30602</v>
      </c>
      <c r="I24" s="18" t="s">
        <v>349</v>
      </c>
      <c r="J24" s="20" t="s">
        <v>349</v>
      </c>
      <c r="K24" s="18" t="n">
        <v>0.84422428</v>
      </c>
      <c r="L24" s="20" t="n">
        <v>0.42758203</v>
      </c>
      <c r="M24" s="18" t="n">
        <v>0</v>
      </c>
      <c r="N24" s="20" t="n">
        <v>0</v>
      </c>
      <c r="O24" s="18" t="n">
        <v>0</v>
      </c>
      <c r="P24" s="20" t="n">
        <v>0</v>
      </c>
      <c r="Q24" s="18" t="n">
        <v>3.08298042</v>
      </c>
      <c r="R24" s="20" t="n">
        <v>0.7009157499999999</v>
      </c>
    </row>
    <row r="25" spans="1:18">
      <c r="A25" s="15" t="s">
        <v>367</v>
      </c>
      <c r="B25" s="17" t="n">
        <v>2912</v>
      </c>
      <c r="C25" s="18">
        <f>(2574.0/B25*100)</f>
        <v/>
      </c>
      <c r="D25" s="19" t="n">
        <v>338</v>
      </c>
      <c r="E25" s="18" t="n">
        <v>58.0574322</v>
      </c>
      <c r="F25" s="20" t="n">
        <v>2.78978517</v>
      </c>
      <c r="G25" s="18" t="n">
        <v>40.4485941</v>
      </c>
      <c r="H25" s="20" t="n">
        <v>2.78191972</v>
      </c>
      <c r="I25" s="18" t="s">
        <v>349</v>
      </c>
      <c r="J25" s="20" t="s">
        <v>349</v>
      </c>
      <c r="K25" s="18" t="n">
        <v>0.59307864</v>
      </c>
      <c r="L25" s="20" t="n">
        <v>0.42064308</v>
      </c>
      <c r="M25" s="18" t="n">
        <v>0</v>
      </c>
      <c r="N25" s="20" t="n">
        <v>0</v>
      </c>
      <c r="O25" s="18" t="n">
        <v>0</v>
      </c>
      <c r="P25" s="20" t="n">
        <v>0</v>
      </c>
      <c r="Q25" s="18" t="n">
        <v>0.90089506</v>
      </c>
      <c r="R25" s="20" t="n">
        <v>0.51666405</v>
      </c>
    </row>
    <row r="26" spans="1:18">
      <c r="A26" s="15" t="s">
        <v>368</v>
      </c>
      <c r="B26" s="17" t="n">
        <v>2450</v>
      </c>
      <c r="C26" s="18">
        <f>(2135.0/B26*100)</f>
        <v/>
      </c>
      <c r="D26" s="19" t="n">
        <v>315</v>
      </c>
      <c r="E26" s="18" t="n">
        <v>78.40987370000001</v>
      </c>
      <c r="F26" s="20" t="n">
        <v>2.17764776</v>
      </c>
      <c r="G26" s="18" t="n">
        <v>19.23711382</v>
      </c>
      <c r="H26" s="20" t="n">
        <v>2.1364914</v>
      </c>
      <c r="I26" s="18" t="s">
        <v>349</v>
      </c>
      <c r="J26" s="20" t="s">
        <v>349</v>
      </c>
      <c r="K26" s="18" t="n">
        <v>0</v>
      </c>
      <c r="L26" s="20" t="n">
        <v>0</v>
      </c>
      <c r="M26" s="18" t="n">
        <v>0</v>
      </c>
      <c r="N26" s="20" t="n">
        <v>0</v>
      </c>
      <c r="O26" s="18" t="n">
        <v>0</v>
      </c>
      <c r="P26" s="20" t="n">
        <v>0</v>
      </c>
      <c r="Q26" s="18" t="n">
        <v>2.35301248</v>
      </c>
      <c r="R26" s="20" t="n">
        <v>0.9263642399999999</v>
      </c>
    </row>
    <row r="27" spans="1:18">
      <c r="A27" s="15" t="s">
        <v>369</v>
      </c>
      <c r="B27" s="17" t="n">
        <v>2616</v>
      </c>
      <c r="C27" s="18">
        <f>(2310.0/B27*100)</f>
        <v/>
      </c>
      <c r="D27" s="19" t="n">
        <v>306</v>
      </c>
      <c r="E27" s="18" t="n">
        <v>67.60371253</v>
      </c>
      <c r="F27" s="20" t="n">
        <v>2.54232297</v>
      </c>
      <c r="G27" s="18" t="n">
        <v>27.34919381</v>
      </c>
      <c r="H27" s="20" t="n">
        <v>2.43363727</v>
      </c>
      <c r="I27" s="18" t="s">
        <v>349</v>
      </c>
      <c r="J27" s="20" t="s">
        <v>349</v>
      </c>
      <c r="K27" s="18" t="n">
        <v>0.63463215</v>
      </c>
      <c r="L27" s="20" t="n">
        <v>0.4417885</v>
      </c>
      <c r="M27" s="18" t="n">
        <v>0</v>
      </c>
      <c r="N27" s="20" t="n">
        <v>0</v>
      </c>
      <c r="O27" s="18" t="n">
        <v>0</v>
      </c>
      <c r="P27" s="20" t="n">
        <v>0</v>
      </c>
      <c r="Q27" s="18" t="n">
        <v>4.41246151</v>
      </c>
      <c r="R27" s="20" t="n">
        <v>1.30814899</v>
      </c>
    </row>
    <row r="28" spans="1:18">
      <c r="A28" s="15" t="s">
        <v>370</v>
      </c>
      <c r="B28" s="17" t="n">
        <v>3765</v>
      </c>
      <c r="C28" s="18">
        <f>(3319.0/B28*100)</f>
        <v/>
      </c>
      <c r="D28" s="19" t="n">
        <v>446</v>
      </c>
      <c r="E28" s="18" t="n">
        <v>90.53196183999999</v>
      </c>
      <c r="F28" s="20" t="n">
        <v>1.50803148</v>
      </c>
      <c r="G28" s="18" t="n">
        <v>6.67224223</v>
      </c>
      <c r="H28" s="20" t="n">
        <v>1.31240122</v>
      </c>
      <c r="I28" s="18" t="s">
        <v>349</v>
      </c>
      <c r="J28" s="20" t="s">
        <v>349</v>
      </c>
      <c r="K28" s="18" t="n">
        <v>1.0155353</v>
      </c>
      <c r="L28" s="20" t="n">
        <v>0.52782966</v>
      </c>
      <c r="M28" s="18" t="n">
        <v>0</v>
      </c>
      <c r="N28" s="20" t="n">
        <v>0</v>
      </c>
      <c r="O28" s="18" t="n">
        <v>0</v>
      </c>
      <c r="P28" s="20" t="n">
        <v>0</v>
      </c>
      <c r="Q28" s="18" t="n">
        <v>1.78026063</v>
      </c>
      <c r="R28" s="20" t="n">
        <v>0.72035792</v>
      </c>
    </row>
    <row r="29" spans="1:18">
      <c r="A29" s="15" t="s">
        <v>371</v>
      </c>
      <c r="B29" s="17" t="n">
        <v>2685</v>
      </c>
      <c r="C29" s="18">
        <f>(2377.0/B29*100)</f>
        <v/>
      </c>
      <c r="D29" s="19" t="n">
        <v>308</v>
      </c>
      <c r="E29" s="18" t="n">
        <v>77.35467421</v>
      </c>
      <c r="F29" s="20" t="n">
        <v>2.32777686</v>
      </c>
      <c r="G29" s="18" t="n">
        <v>22.05288775</v>
      </c>
      <c r="H29" s="20" t="n">
        <v>2.283988</v>
      </c>
      <c r="I29" s="18" t="s">
        <v>349</v>
      </c>
      <c r="J29" s="20" t="s">
        <v>349</v>
      </c>
      <c r="K29" s="18" t="n">
        <v>0</v>
      </c>
      <c r="L29" s="20" t="n">
        <v>0</v>
      </c>
      <c r="M29" s="18" t="n">
        <v>0</v>
      </c>
      <c r="N29" s="20" t="n">
        <v>0</v>
      </c>
      <c r="O29" s="18" t="n">
        <v>0</v>
      </c>
      <c r="P29" s="20" t="n">
        <v>0</v>
      </c>
      <c r="Q29" s="18" t="n">
        <v>0.59243804</v>
      </c>
      <c r="R29" s="20" t="n">
        <v>0.56004197</v>
      </c>
    </row>
    <row r="30" spans="1:18">
      <c r="A30" s="15" t="s">
        <v>372</v>
      </c>
      <c r="B30" s="17" t="n">
        <v>2263</v>
      </c>
      <c r="C30" s="18">
        <f>(1979.0/B30*100)</f>
        <v/>
      </c>
      <c r="D30" s="19" t="n">
        <v>284</v>
      </c>
      <c r="E30" s="18" t="n">
        <v>73.11749036000001</v>
      </c>
      <c r="F30" s="20" t="n">
        <v>2.75391269</v>
      </c>
      <c r="G30" s="18" t="n">
        <v>22.3102838</v>
      </c>
      <c r="H30" s="20" t="n">
        <v>2.55624177</v>
      </c>
      <c r="I30" s="18" t="s">
        <v>349</v>
      </c>
      <c r="J30" s="20" t="s">
        <v>349</v>
      </c>
      <c r="K30" s="18" t="n">
        <v>0.3182951</v>
      </c>
      <c r="L30" s="20" t="n">
        <v>0.32279504</v>
      </c>
      <c r="M30" s="18" t="n">
        <v>0</v>
      </c>
      <c r="N30" s="20" t="n">
        <v>0</v>
      </c>
      <c r="O30" s="18" t="n">
        <v>0</v>
      </c>
      <c r="P30" s="20" t="n">
        <v>0</v>
      </c>
      <c r="Q30" s="18" t="n">
        <v>4.25393073</v>
      </c>
      <c r="R30" s="20" t="n">
        <v>1.09668852</v>
      </c>
    </row>
    <row r="31" spans="1:18">
      <c r="A31" s="15" t="s">
        <v>373</v>
      </c>
      <c r="B31" s="17" t="n">
        <v>2750</v>
      </c>
      <c r="C31" s="18">
        <f>(2423.0/B31*100)</f>
        <v/>
      </c>
      <c r="D31" s="19" t="n">
        <v>327</v>
      </c>
      <c r="E31" s="18" t="n">
        <v>72.68283113</v>
      </c>
      <c r="F31" s="20" t="n">
        <v>2.61594136</v>
      </c>
      <c r="G31" s="18" t="n">
        <v>17.95779362</v>
      </c>
      <c r="H31" s="20" t="n">
        <v>2.52679654</v>
      </c>
      <c r="I31" s="18" t="s">
        <v>349</v>
      </c>
      <c r="J31" s="20" t="s">
        <v>349</v>
      </c>
      <c r="K31" s="18" t="n">
        <v>0.85172743</v>
      </c>
      <c r="L31" s="20" t="n">
        <v>0.47523455</v>
      </c>
      <c r="M31" s="18" t="n">
        <v>0</v>
      </c>
      <c r="N31" s="20" t="n">
        <v>0</v>
      </c>
      <c r="O31" s="18" t="n">
        <v>0</v>
      </c>
      <c r="P31" s="20" t="n">
        <v>0</v>
      </c>
      <c r="Q31" s="18" t="n">
        <v>8.50764783</v>
      </c>
      <c r="R31" s="20" t="n">
        <v>1.61611954</v>
      </c>
    </row>
    <row r="32" spans="1:18">
      <c r="A32" s="15" t="s">
        <v>374</v>
      </c>
      <c r="B32" s="17" t="n">
        <v>2269</v>
      </c>
      <c r="C32" s="18">
        <f>(1905.0/B32*100)</f>
        <v/>
      </c>
      <c r="D32" s="19" t="n">
        <v>364</v>
      </c>
      <c r="E32" s="18" t="n">
        <v>70.74476358</v>
      </c>
      <c r="F32" s="20" t="n">
        <v>2.27916723</v>
      </c>
      <c r="G32" s="18" t="n">
        <v>26.59003907</v>
      </c>
      <c r="H32" s="20" t="n">
        <v>2.24435685</v>
      </c>
      <c r="I32" s="18" t="s">
        <v>349</v>
      </c>
      <c r="J32" s="20" t="s">
        <v>349</v>
      </c>
      <c r="K32" s="18" t="n">
        <v>0</v>
      </c>
      <c r="L32" s="20" t="n">
        <v>0</v>
      </c>
      <c r="M32" s="18" t="n">
        <v>0</v>
      </c>
      <c r="N32" s="20" t="n">
        <v>0</v>
      </c>
      <c r="O32" s="18" t="n">
        <v>0</v>
      </c>
      <c r="P32" s="20" t="n">
        <v>0</v>
      </c>
      <c r="Q32" s="18" t="n">
        <v>2.66519734</v>
      </c>
      <c r="R32" s="20" t="n">
        <v>0.83657328</v>
      </c>
    </row>
    <row r="33" spans="1:18">
      <c r="A33" s="15" t="s">
        <v>375</v>
      </c>
      <c r="B33" s="17" t="n">
        <v>3674</v>
      </c>
      <c r="C33" s="18">
        <f>(3234.0/B33*100)</f>
        <v/>
      </c>
      <c r="D33" s="19" t="n">
        <v>440</v>
      </c>
      <c r="E33" s="18" t="n">
        <v>68.96435653</v>
      </c>
      <c r="F33" s="20" t="n">
        <v>2.59857697</v>
      </c>
      <c r="G33" s="18" t="n">
        <v>26.37388782</v>
      </c>
      <c r="H33" s="20" t="n">
        <v>2.39419697</v>
      </c>
      <c r="I33" s="18" t="s">
        <v>349</v>
      </c>
      <c r="J33" s="20" t="s">
        <v>349</v>
      </c>
      <c r="K33" s="18" t="n">
        <v>1.76987338</v>
      </c>
      <c r="L33" s="20" t="n">
        <v>1.2682467</v>
      </c>
      <c r="M33" s="18" t="n">
        <v>0</v>
      </c>
      <c r="N33" s="20" t="n">
        <v>0</v>
      </c>
      <c r="O33" s="18" t="n">
        <v>0</v>
      </c>
      <c r="P33" s="20" t="n">
        <v>0</v>
      </c>
      <c r="Q33" s="18" t="n">
        <v>2.89188227</v>
      </c>
      <c r="R33" s="20" t="n">
        <v>0.86303413</v>
      </c>
    </row>
    <row r="34" spans="1:18">
      <c r="A34" s="15" t="s">
        <v>376</v>
      </c>
      <c r="B34" s="17" t="n">
        <v>3315</v>
      </c>
      <c r="C34" s="18">
        <f>(2911.0/B34*100)</f>
        <v/>
      </c>
      <c r="D34" s="19" t="n">
        <v>404</v>
      </c>
      <c r="E34" s="18" t="n">
        <v>75.36777883000001</v>
      </c>
      <c r="F34" s="20" t="n">
        <v>2.35951308</v>
      </c>
      <c r="G34" s="18" t="n">
        <v>20.40764622</v>
      </c>
      <c r="H34" s="20" t="n">
        <v>2.21472592</v>
      </c>
      <c r="I34" s="18" t="s">
        <v>349</v>
      </c>
      <c r="J34" s="20" t="s">
        <v>349</v>
      </c>
      <c r="K34" s="18" t="n">
        <v>0.78691157</v>
      </c>
      <c r="L34" s="20" t="n">
        <v>0.47966664</v>
      </c>
      <c r="M34" s="18" t="n">
        <v>0</v>
      </c>
      <c r="N34" s="20" t="n">
        <v>0</v>
      </c>
      <c r="O34" s="18" t="n">
        <v>0</v>
      </c>
      <c r="P34" s="20" t="n">
        <v>0</v>
      </c>
      <c r="Q34" s="18" t="n">
        <v>3.43766338</v>
      </c>
      <c r="R34" s="20" t="n">
        <v>0.8907816200000001</v>
      </c>
    </row>
    <row r="35" spans="1:18">
      <c r="A35" s="15" t="s">
        <v>377</v>
      </c>
      <c r="B35" s="17" t="n">
        <v>3505</v>
      </c>
      <c r="C35" s="18">
        <f>(3097.0/B35*100)</f>
        <v/>
      </c>
      <c r="D35" s="19" t="n">
        <v>408</v>
      </c>
      <c r="E35" s="18" t="n">
        <v>69.83785501</v>
      </c>
      <c r="F35" s="20" t="n">
        <v>3.02094449</v>
      </c>
      <c r="G35" s="18" t="n">
        <v>28.36916257</v>
      </c>
      <c r="H35" s="20" t="n">
        <v>2.95058599</v>
      </c>
      <c r="I35" s="18" t="s">
        <v>349</v>
      </c>
      <c r="J35" s="20" t="s">
        <v>349</v>
      </c>
      <c r="K35" s="18" t="n">
        <v>0.26056699</v>
      </c>
      <c r="L35" s="20" t="n">
        <v>0.18601681</v>
      </c>
      <c r="M35" s="18" t="n">
        <v>0</v>
      </c>
      <c r="N35" s="20" t="n">
        <v>0</v>
      </c>
      <c r="O35" s="18" t="n">
        <v>0</v>
      </c>
      <c r="P35" s="20" t="n">
        <v>0</v>
      </c>
      <c r="Q35" s="18" t="n">
        <v>1.53241543</v>
      </c>
      <c r="R35" s="20" t="n">
        <v>0.50422554</v>
      </c>
    </row>
    <row r="36" spans="1:18">
      <c r="A36" s="15" t="s">
        <v>378</v>
      </c>
      <c r="B36" s="17" t="n">
        <v>3332</v>
      </c>
      <c r="C36" s="18">
        <f>(2937.0/B36*100)</f>
        <v/>
      </c>
      <c r="D36" s="19" t="n">
        <v>395</v>
      </c>
      <c r="E36" s="18" t="n">
        <v>76.34098566</v>
      </c>
      <c r="F36" s="20" t="n">
        <v>2.22451836</v>
      </c>
      <c r="G36" s="18" t="n">
        <v>18.4993063</v>
      </c>
      <c r="H36" s="20" t="n">
        <v>2.12499908</v>
      </c>
      <c r="I36" s="18" t="s">
        <v>349</v>
      </c>
      <c r="J36" s="20" t="s">
        <v>349</v>
      </c>
      <c r="K36" s="18" t="n">
        <v>0.79537308</v>
      </c>
      <c r="L36" s="20" t="n">
        <v>0.46977496</v>
      </c>
      <c r="M36" s="18" t="n">
        <v>0</v>
      </c>
      <c r="N36" s="20" t="n">
        <v>0</v>
      </c>
      <c r="O36" s="18" t="n">
        <v>0</v>
      </c>
      <c r="P36" s="20" t="n">
        <v>0</v>
      </c>
      <c r="Q36" s="18" t="n">
        <v>4.36433497</v>
      </c>
      <c r="R36" s="20" t="n">
        <v>1.02435467</v>
      </c>
    </row>
    <row r="37" spans="1:18">
      <c r="A37" s="15" t="s">
        <v>379</v>
      </c>
      <c r="B37" s="17" t="n">
        <v>2727</v>
      </c>
      <c r="C37" s="18">
        <f>(2402.0/B37*100)</f>
        <v/>
      </c>
      <c r="D37" s="19" t="n">
        <v>325</v>
      </c>
      <c r="E37" s="18" t="n">
        <v>72.3260343</v>
      </c>
      <c r="F37" s="20" t="n">
        <v>3.32084105</v>
      </c>
      <c r="G37" s="18" t="n">
        <v>19.52991773</v>
      </c>
      <c r="H37" s="20" t="n">
        <v>3.19513734</v>
      </c>
      <c r="I37" s="18" t="s">
        <v>349</v>
      </c>
      <c r="J37" s="20" t="s">
        <v>349</v>
      </c>
      <c r="K37" s="18" t="n">
        <v>1.80845683</v>
      </c>
      <c r="L37" s="20" t="n">
        <v>0.73542052</v>
      </c>
      <c r="M37" s="18" t="n">
        <v>0</v>
      </c>
      <c r="N37" s="20" t="n">
        <v>0</v>
      </c>
      <c r="O37" s="18" t="n">
        <v>0</v>
      </c>
      <c r="P37" s="20" t="n">
        <v>0</v>
      </c>
      <c r="Q37" s="18" t="n">
        <v>6.33559114</v>
      </c>
      <c r="R37" s="20" t="n">
        <v>1.70598746</v>
      </c>
    </row>
    <row r="38" spans="1:18">
      <c r="A38" s="15" t="s">
        <v>380</v>
      </c>
      <c r="B38" s="17" t="n">
        <v>3053</v>
      </c>
      <c r="C38" s="18">
        <f>(2554.0/B38*100)</f>
        <v/>
      </c>
      <c r="D38" s="19" t="n">
        <v>499</v>
      </c>
      <c r="E38" s="18" t="n">
        <v>58.87633556</v>
      </c>
      <c r="F38" s="20" t="n">
        <v>2.08260911</v>
      </c>
      <c r="G38" s="18" t="n">
        <v>38.73504411</v>
      </c>
      <c r="H38" s="20" t="n">
        <v>2.05860999</v>
      </c>
      <c r="I38" s="18" t="s">
        <v>349</v>
      </c>
      <c r="J38" s="20" t="s">
        <v>349</v>
      </c>
      <c r="K38" s="18" t="n">
        <v>1.22159329</v>
      </c>
      <c r="L38" s="20" t="n">
        <v>0.5003765</v>
      </c>
      <c r="M38" s="18" t="n">
        <v>0</v>
      </c>
      <c r="N38" s="20" t="n">
        <v>0</v>
      </c>
      <c r="O38" s="18" t="n">
        <v>0</v>
      </c>
      <c r="P38" s="20" t="n">
        <v>0</v>
      </c>
      <c r="Q38" s="18" t="n">
        <v>1.16702704</v>
      </c>
      <c r="R38" s="20" t="n">
        <v>0.45665133</v>
      </c>
    </row>
    <row r="39" spans="1:18">
      <c r="A39" s="15" t="s">
        <v>381</v>
      </c>
      <c r="B39" s="17" t="n">
        <v>2957</v>
      </c>
      <c r="C39" s="18">
        <f>(2598.0/B39*100)</f>
        <v/>
      </c>
      <c r="D39" s="19" t="n">
        <v>359</v>
      </c>
      <c r="E39" s="18" t="n">
        <v>81.50931887</v>
      </c>
      <c r="F39" s="20" t="n">
        <v>2.5779617</v>
      </c>
      <c r="G39" s="18" t="n">
        <v>16.5691747</v>
      </c>
      <c r="H39" s="20" t="n">
        <v>2.60509887</v>
      </c>
      <c r="I39" s="18" t="s">
        <v>349</v>
      </c>
      <c r="J39" s="20" t="s">
        <v>349</v>
      </c>
      <c r="K39" s="18" t="n">
        <v>0.50563959</v>
      </c>
      <c r="L39" s="20" t="n">
        <v>0.30241033</v>
      </c>
      <c r="M39" s="18" t="n">
        <v>0</v>
      </c>
      <c r="N39" s="20" t="n">
        <v>0</v>
      </c>
      <c r="O39" s="18" t="n">
        <v>0</v>
      </c>
      <c r="P39" s="20" t="n">
        <v>0</v>
      </c>
      <c r="Q39" s="18" t="n">
        <v>1.41586685</v>
      </c>
      <c r="R39" s="20" t="n">
        <v>0.60985424</v>
      </c>
    </row>
    <row r="40" spans="1:18">
      <c r="A40" s="15" t="s">
        <v>382</v>
      </c>
      <c r="B40" s="17" t="n">
        <v>7235</v>
      </c>
      <c r="C40" s="18">
        <f>(6330.0/B40*100)</f>
        <v/>
      </c>
      <c r="D40" s="19" t="n">
        <v>905</v>
      </c>
      <c r="E40" s="18" t="n">
        <v>73.13253026</v>
      </c>
      <c r="F40" s="20" t="n">
        <v>2.31814682</v>
      </c>
      <c r="G40" s="18" t="n">
        <v>23.18374358</v>
      </c>
      <c r="H40" s="20" t="n">
        <v>2.04849413</v>
      </c>
      <c r="I40" s="18" t="s">
        <v>349</v>
      </c>
      <c r="J40" s="20" t="s">
        <v>349</v>
      </c>
      <c r="K40" s="18" t="n">
        <v>0.64186009</v>
      </c>
      <c r="L40" s="20" t="n">
        <v>0.33615255</v>
      </c>
      <c r="M40" s="18" t="n">
        <v>0</v>
      </c>
      <c r="N40" s="20" t="n">
        <v>0</v>
      </c>
      <c r="O40" s="18" t="n">
        <v>0</v>
      </c>
      <c r="P40" s="20" t="n">
        <v>0</v>
      </c>
      <c r="Q40" s="18" t="n">
        <v>3.04186606</v>
      </c>
      <c r="R40" s="20" t="n">
        <v>1.02620846</v>
      </c>
    </row>
    <row r="41" spans="1:18">
      <c r="A41" s="15" t="s">
        <v>383</v>
      </c>
      <c r="B41" s="17" t="n">
        <v>2858</v>
      </c>
      <c r="C41" s="18">
        <f>(2481.0/B41*100)</f>
        <v/>
      </c>
      <c r="D41" s="19" t="n">
        <v>377</v>
      </c>
      <c r="E41" s="18" t="n">
        <v>82.50922661</v>
      </c>
      <c r="F41" s="20" t="n">
        <v>2.77017763</v>
      </c>
      <c r="G41" s="18" t="n">
        <v>13.9067428</v>
      </c>
      <c r="H41" s="20" t="n">
        <v>1.71204556</v>
      </c>
      <c r="I41" s="18" t="s">
        <v>349</v>
      </c>
      <c r="J41" s="20" t="s">
        <v>349</v>
      </c>
      <c r="K41" s="18" t="n">
        <v>0.20243958</v>
      </c>
      <c r="L41" s="20" t="n">
        <v>0.21075893</v>
      </c>
      <c r="M41" s="18" t="n">
        <v>0</v>
      </c>
      <c r="N41" s="20" t="n">
        <v>0</v>
      </c>
      <c r="O41" s="18" t="n">
        <v>0</v>
      </c>
      <c r="P41" s="20" t="n">
        <v>0</v>
      </c>
      <c r="Q41" s="18" t="n">
        <v>3.38159101</v>
      </c>
      <c r="R41" s="20" t="n">
        <v>1.7841967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(9943.0/B46*100)</f>
        <v/>
      </c>
      <c r="D46" s="19" t="n">
        <v>1125</v>
      </c>
      <c r="E46" s="18" t="n">
        <v>90.64587511000001</v>
      </c>
      <c r="F46" s="20" t="n">
        <v>1.14759619</v>
      </c>
      <c r="G46" s="18" t="n">
        <v>2.49041123</v>
      </c>
      <c r="H46" s="20" t="n">
        <v>0.69302463</v>
      </c>
      <c r="I46" s="18" t="s">
        <v>349</v>
      </c>
      <c r="J46" s="20" t="s">
        <v>349</v>
      </c>
      <c r="K46" s="18" t="n">
        <v>1.67787479</v>
      </c>
      <c r="L46" s="20" t="n">
        <v>0.54087732</v>
      </c>
      <c r="M46" s="18" t="n">
        <v>0</v>
      </c>
      <c r="N46" s="20" t="n">
        <v>0</v>
      </c>
      <c r="O46" s="18" t="n">
        <v>0</v>
      </c>
      <c r="P46" s="20" t="n">
        <v>0</v>
      </c>
      <c r="Q46" s="18" t="n">
        <v>5.18583886</v>
      </c>
      <c r="R46" s="20" t="n">
        <v>0.85684237</v>
      </c>
    </row>
    <row r="47" spans="1:18">
      <c r="A47" s="15" t="s">
        <v>389</v>
      </c>
      <c r="B47" s="17" t="n">
        <v>3105</v>
      </c>
      <c r="C47" s="18">
        <f>(2716.0/B47*100)</f>
        <v/>
      </c>
      <c r="D47" s="19" t="n">
        <v>389</v>
      </c>
      <c r="E47" s="18" t="n">
        <v>78.62151566999999</v>
      </c>
      <c r="F47" s="20" t="n">
        <v>2.11491771</v>
      </c>
      <c r="G47" s="18" t="n">
        <v>9.854037</v>
      </c>
      <c r="H47" s="20" t="n">
        <v>1.45948829</v>
      </c>
      <c r="I47" s="18" t="s">
        <v>349</v>
      </c>
      <c r="J47" s="20" t="s">
        <v>349</v>
      </c>
      <c r="K47" s="18" t="n">
        <v>1.26379782</v>
      </c>
      <c r="L47" s="20" t="n">
        <v>0.52738843</v>
      </c>
      <c r="M47" s="18" t="n">
        <v>0</v>
      </c>
      <c r="N47" s="20" t="n">
        <v>0</v>
      </c>
      <c r="O47" s="18" t="n">
        <v>0</v>
      </c>
      <c r="P47" s="20" t="n">
        <v>0</v>
      </c>
      <c r="Q47" s="18" t="n">
        <v>10.26064951</v>
      </c>
      <c r="R47" s="20" t="n">
        <v>1.66415061</v>
      </c>
    </row>
    <row r="48" spans="1:18">
      <c r="A48" s="15" t="s">
        <v>390</v>
      </c>
      <c r="B48" s="17" t="n">
        <v>5159</v>
      </c>
      <c r="C48" s="18">
        <f>(4544.0/B48*100)</f>
        <v/>
      </c>
      <c r="D48" s="19" t="n">
        <v>615</v>
      </c>
      <c r="E48" s="18" t="n">
        <v>54.35985986</v>
      </c>
      <c r="F48" s="20" t="n">
        <v>2.52548174</v>
      </c>
      <c r="G48" s="18" t="n">
        <v>43.79186605</v>
      </c>
      <c r="H48" s="20" t="n">
        <v>2.46947087</v>
      </c>
      <c r="I48" s="18" t="s">
        <v>349</v>
      </c>
      <c r="J48" s="20" t="s">
        <v>349</v>
      </c>
      <c r="K48" s="18" t="n">
        <v>0.80485543</v>
      </c>
      <c r="L48" s="20" t="n">
        <v>0.48188314</v>
      </c>
      <c r="M48" s="18" t="n">
        <v>0</v>
      </c>
      <c r="N48" s="20" t="n">
        <v>0</v>
      </c>
      <c r="O48" s="18" t="n">
        <v>0</v>
      </c>
      <c r="P48" s="20" t="n">
        <v>0</v>
      </c>
      <c r="Q48" s="18" t="n">
        <v>1.04341866</v>
      </c>
      <c r="R48" s="20" t="n">
        <v>0.52229768</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(4973.0/B50*100)</f>
        <v/>
      </c>
      <c r="D50" s="19" t="n">
        <v>664</v>
      </c>
      <c r="E50" s="18" t="n">
        <v>94.94788134</v>
      </c>
      <c r="F50" s="20" t="n">
        <v>1.06363174</v>
      </c>
      <c r="G50" s="18" t="n">
        <v>1.89726003</v>
      </c>
      <c r="H50" s="20" t="n">
        <v>0.74717515</v>
      </c>
      <c r="I50" s="18" t="s">
        <v>349</v>
      </c>
      <c r="J50" s="20" t="s">
        <v>349</v>
      </c>
      <c r="K50" s="18" t="n">
        <v>1.03919643</v>
      </c>
      <c r="L50" s="20" t="n">
        <v>0.45677723</v>
      </c>
      <c r="M50" s="18" t="n">
        <v>0</v>
      </c>
      <c r="N50" s="20" t="n">
        <v>0</v>
      </c>
      <c r="O50" s="18" t="n">
        <v>0</v>
      </c>
      <c r="P50" s="20" t="n">
        <v>0</v>
      </c>
      <c r="Q50" s="18" t="n">
        <v>2.1156622</v>
      </c>
      <c r="R50" s="20" t="n">
        <v>0.83243618</v>
      </c>
    </row>
    <row r="51" spans="1:18">
      <c r="A51" s="15" t="s">
        <v>393</v>
      </c>
      <c r="B51" s="17" t="n">
        <v>3372</v>
      </c>
      <c r="C51" s="18">
        <f>(3008.0/B51*100)</f>
        <v/>
      </c>
      <c r="D51" s="19" t="n">
        <v>364</v>
      </c>
      <c r="E51" s="18" t="n">
        <v>91.17996949</v>
      </c>
      <c r="F51" s="20" t="n">
        <v>1.54952335</v>
      </c>
      <c r="G51" s="18" t="n">
        <v>5.28012302</v>
      </c>
      <c r="H51" s="20" t="n">
        <v>1.53538013</v>
      </c>
      <c r="I51" s="18" t="s">
        <v>349</v>
      </c>
      <c r="J51" s="20" t="s">
        <v>349</v>
      </c>
      <c r="K51" s="18" t="n">
        <v>1.50740103</v>
      </c>
      <c r="L51" s="20" t="n">
        <v>0.78875479</v>
      </c>
      <c r="M51" s="18" t="n">
        <v>0</v>
      </c>
      <c r="N51" s="20" t="n">
        <v>0</v>
      </c>
      <c r="O51" s="18" t="n">
        <v>0</v>
      </c>
      <c r="P51" s="20" t="n">
        <v>0</v>
      </c>
      <c r="Q51" s="18" t="n">
        <v>2.03250647</v>
      </c>
      <c r="R51" s="20" t="n">
        <v>0.71819778</v>
      </c>
    </row>
    <row r="52" spans="1:18">
      <c r="A52" s="15" t="s">
        <v>394</v>
      </c>
      <c r="B52" s="17" t="n">
        <v>2796</v>
      </c>
      <c r="C52" s="18">
        <f>(2434.0/B52*100)</f>
        <v/>
      </c>
      <c r="D52" s="19" t="n">
        <v>362</v>
      </c>
      <c r="E52" s="18" t="n">
        <v>76.19734599</v>
      </c>
      <c r="F52" s="20" t="n">
        <v>2.19729842</v>
      </c>
      <c r="G52" s="18" t="n">
        <v>16.80671639</v>
      </c>
      <c r="H52" s="20" t="n">
        <v>1.76056111</v>
      </c>
      <c r="I52" s="18" t="s">
        <v>349</v>
      </c>
      <c r="J52" s="20" t="s">
        <v>349</v>
      </c>
      <c r="K52" s="18" t="n">
        <v>0.57306681</v>
      </c>
      <c r="L52" s="20" t="n">
        <v>0.44617171</v>
      </c>
      <c r="M52" s="18" t="n">
        <v>0</v>
      </c>
      <c r="N52" s="20" t="n">
        <v>0</v>
      </c>
      <c r="O52" s="18" t="n">
        <v>0</v>
      </c>
      <c r="P52" s="20" t="n">
        <v>0</v>
      </c>
      <c r="Q52" s="18" t="n">
        <v>6.42287081</v>
      </c>
      <c r="R52" s="20" t="n">
        <v>1.28187261</v>
      </c>
    </row>
    <row r="53" spans="1:18">
      <c r="A53" s="15" t="s">
        <v>395</v>
      </c>
      <c r="B53" s="17" t="n">
        <v>2811</v>
      </c>
      <c r="C53" s="18">
        <f>(2457.0/B53*100)</f>
        <v/>
      </c>
      <c r="D53" s="19" t="n">
        <v>354</v>
      </c>
      <c r="E53" s="18" t="n">
        <v>81.11356727</v>
      </c>
      <c r="F53" s="20" t="n">
        <v>2.27772644</v>
      </c>
      <c r="G53" s="18" t="n">
        <v>13.1530015</v>
      </c>
      <c r="H53" s="20" t="n">
        <v>2.06711657</v>
      </c>
      <c r="I53" s="18" t="s">
        <v>349</v>
      </c>
      <c r="J53" s="20" t="s">
        <v>349</v>
      </c>
      <c r="K53" s="18" t="n">
        <v>0.3814755</v>
      </c>
      <c r="L53" s="20" t="n">
        <v>0.2692269</v>
      </c>
      <c r="M53" s="18" t="n">
        <v>0</v>
      </c>
      <c r="N53" s="20" t="n">
        <v>0</v>
      </c>
      <c r="O53" s="18" t="n">
        <v>0</v>
      </c>
      <c r="P53" s="20" t="n">
        <v>0</v>
      </c>
      <c r="Q53" s="18" t="n">
        <v>5.35195574</v>
      </c>
      <c r="R53" s="20" t="n">
        <v>1.1790851</v>
      </c>
    </row>
    <row r="54" spans="1:18">
      <c r="A54" s="15" t="s">
        <v>396</v>
      </c>
      <c r="B54" s="17" t="n">
        <v>2266</v>
      </c>
      <c r="C54" s="18">
        <f>(1909.0/B54*100)</f>
        <v/>
      </c>
      <c r="D54" s="19" t="n">
        <v>357</v>
      </c>
      <c r="E54" s="18" t="n">
        <v>81.17274522</v>
      </c>
      <c r="F54" s="20" t="n">
        <v>2.88060079</v>
      </c>
      <c r="G54" s="18" t="n">
        <v>0</v>
      </c>
      <c r="H54" s="20" t="n">
        <v>0</v>
      </c>
      <c r="I54" s="18" t="s">
        <v>349</v>
      </c>
      <c r="J54" s="20" t="s">
        <v>349</v>
      </c>
      <c r="K54" s="18" t="n">
        <v>10.38306484</v>
      </c>
      <c r="L54" s="20" t="n">
        <v>2.17598009</v>
      </c>
      <c r="M54" s="18" t="n">
        <v>0</v>
      </c>
      <c r="N54" s="20" t="n">
        <v>0</v>
      </c>
      <c r="O54" s="18" t="n">
        <v>0</v>
      </c>
      <c r="P54" s="20" t="n">
        <v>0</v>
      </c>
      <c r="Q54" s="18" t="n">
        <v>8.444189939999999</v>
      </c>
      <c r="R54" s="20" t="n">
        <v>1.90243508</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(2355.0/B56*100)</f>
        <v/>
      </c>
      <c r="D56" s="19" t="n">
        <v>329</v>
      </c>
      <c r="E56" s="18" t="n">
        <v>52.40503864</v>
      </c>
      <c r="F56" s="20" t="n">
        <v>3.21680704</v>
      </c>
      <c r="G56" s="18" t="n">
        <v>45.77981631</v>
      </c>
      <c r="H56" s="20" t="n">
        <v>3.23148837</v>
      </c>
      <c r="I56" s="18" t="s">
        <v>349</v>
      </c>
      <c r="J56" s="20" t="s">
        <v>349</v>
      </c>
      <c r="K56" s="18" t="n">
        <v>0.53819606</v>
      </c>
      <c r="L56" s="20" t="n">
        <v>0.3859928</v>
      </c>
      <c r="M56" s="18" t="n">
        <v>0</v>
      </c>
      <c r="N56" s="20" t="n">
        <v>0</v>
      </c>
      <c r="O56" s="18" t="n">
        <v>0</v>
      </c>
      <c r="P56" s="20" t="n">
        <v>0</v>
      </c>
      <c r="Q56" s="18" t="n">
        <v>1.27694899</v>
      </c>
      <c r="R56" s="20" t="n">
        <v>0.63522315</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(2928.0/B61*100)</f>
        <v/>
      </c>
      <c r="D61" s="19" t="n">
        <v>396</v>
      </c>
      <c r="E61" s="18" t="n">
        <v>69.01284488</v>
      </c>
      <c r="F61" s="20" t="n">
        <v>2.7900331</v>
      </c>
      <c r="G61" s="18" t="n">
        <v>27.26388944</v>
      </c>
      <c r="H61" s="20" t="n">
        <v>2.80554242</v>
      </c>
      <c r="I61" s="18" t="s">
        <v>349</v>
      </c>
      <c r="J61" s="20" t="s">
        <v>349</v>
      </c>
      <c r="K61" s="18" t="n">
        <v>0.59902997</v>
      </c>
      <c r="L61" s="20" t="n">
        <v>0.42191937</v>
      </c>
      <c r="M61" s="18" t="n">
        <v>0</v>
      </c>
      <c r="N61" s="20" t="n">
        <v>0</v>
      </c>
      <c r="O61" s="18" t="n">
        <v>0</v>
      </c>
      <c r="P61" s="20" t="n">
        <v>0</v>
      </c>
      <c r="Q61" s="18" t="n">
        <v>3.12423571</v>
      </c>
      <c r="R61" s="20" t="n">
        <v>0.93710885</v>
      </c>
    </row>
    <row r="62" spans="1:18">
      <c r="A62" s="15" t="s">
        <v>404</v>
      </c>
      <c r="B62" s="17" t="n">
        <v>2246</v>
      </c>
      <c r="C62" s="18">
        <f>(1971.0/B62*100)</f>
        <v/>
      </c>
      <c r="D62" s="19" t="n">
        <v>275</v>
      </c>
      <c r="E62" s="18" t="n">
        <v>59.29159838</v>
      </c>
      <c r="F62" s="20" t="n">
        <v>2.97647995</v>
      </c>
      <c r="G62" s="18" t="n">
        <v>40.70840162</v>
      </c>
      <c r="H62" s="20" t="n">
        <v>2.97647995</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(2544.0/B66*100)</f>
        <v/>
      </c>
      <c r="D66" s="19" t="n">
        <v>350</v>
      </c>
      <c r="E66" s="18" t="n">
        <v>78.06824330000001</v>
      </c>
      <c r="F66" s="20" t="n">
        <v>2.17374922</v>
      </c>
      <c r="G66" s="18" t="n">
        <v>10.52235443</v>
      </c>
      <c r="H66" s="20" t="n">
        <v>1.69044667</v>
      </c>
      <c r="I66" s="18" t="s">
        <v>349</v>
      </c>
      <c r="J66" s="20" t="s">
        <v>349</v>
      </c>
      <c r="K66" s="18" t="n">
        <v>1.03894411</v>
      </c>
      <c r="L66" s="20" t="n">
        <v>0.51992205</v>
      </c>
      <c r="M66" s="18" t="n">
        <v>0</v>
      </c>
      <c r="N66" s="20" t="n">
        <v>0</v>
      </c>
      <c r="O66" s="18" t="n">
        <v>0</v>
      </c>
      <c r="P66" s="20" t="n">
        <v>0</v>
      </c>
      <c r="Q66" s="18" t="n">
        <v>10.37045816</v>
      </c>
      <c r="R66" s="20" t="n">
        <v>1.66170225</v>
      </c>
    </row>
    <row r="67" spans="1:18">
      <c r="A67" s="15" t="s">
        <v>409</v>
      </c>
      <c r="B67" s="17" t="n">
        <v>3511</v>
      </c>
      <c r="C67" s="18">
        <f>(3119.0/B67*100)</f>
        <v/>
      </c>
      <c r="D67" s="19" t="n">
        <v>392</v>
      </c>
      <c r="E67" s="18" t="n">
        <v>92.08731668</v>
      </c>
      <c r="F67" s="20" t="n">
        <v>1.21345516</v>
      </c>
      <c r="G67" s="18" t="n">
        <v>4.47744826</v>
      </c>
      <c r="H67" s="20" t="n">
        <v>1.02240585</v>
      </c>
      <c r="I67" s="18" t="s">
        <v>349</v>
      </c>
      <c r="J67" s="20" t="s">
        <v>349</v>
      </c>
      <c r="K67" s="18" t="n">
        <v>0.20284861</v>
      </c>
      <c r="L67" s="20" t="n">
        <v>0.20892523</v>
      </c>
      <c r="M67" s="18" t="n">
        <v>0</v>
      </c>
      <c r="N67" s="20" t="n">
        <v>0</v>
      </c>
      <c r="O67" s="18" t="n">
        <v>0</v>
      </c>
      <c r="P67" s="20" t="n">
        <v>0</v>
      </c>
      <c r="Q67" s="18" t="n">
        <v>3.23238645</v>
      </c>
      <c r="R67" s="20" t="n">
        <v>0.82388017</v>
      </c>
    </row>
    <row r="68" spans="1:18">
      <c r="A68" s="15" t="s">
        <v>410</v>
      </c>
      <c r="B68" s="17" t="n">
        <v>6049</v>
      </c>
      <c r="C68" s="18">
        <f>(5061.0/B68*100)</f>
        <v/>
      </c>
      <c r="D68" s="19" t="n">
        <v>988</v>
      </c>
      <c r="E68" s="18" t="n">
        <v>86.85419767</v>
      </c>
      <c r="F68" s="20" t="n">
        <v>1.17399758</v>
      </c>
      <c r="G68" s="18" t="n">
        <v>6.1506486</v>
      </c>
      <c r="H68" s="20" t="n">
        <v>0.85082813</v>
      </c>
      <c r="I68" s="18" t="s">
        <v>349</v>
      </c>
      <c r="J68" s="20" t="s">
        <v>349</v>
      </c>
      <c r="K68" s="18" t="n">
        <v>3.40031753</v>
      </c>
      <c r="L68" s="20" t="n">
        <v>0.52819144</v>
      </c>
      <c r="M68" s="18" t="n">
        <v>0</v>
      </c>
      <c r="N68" s="20" t="n">
        <v>0</v>
      </c>
      <c r="O68" s="18" t="n">
        <v>0</v>
      </c>
      <c r="P68" s="20" t="n">
        <v>0</v>
      </c>
      <c r="Q68" s="18" t="n">
        <v>3.5948362</v>
      </c>
      <c r="R68" s="20" t="n">
        <v>0.60060095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(2557.0/B70*100)</f>
        <v/>
      </c>
      <c r="D70" s="19" t="n">
        <v>372</v>
      </c>
      <c r="E70" s="18" t="n">
        <v>74.23811736</v>
      </c>
      <c r="F70" s="20" t="n">
        <v>2.50742324</v>
      </c>
      <c r="G70" s="18" t="n">
        <v>23.56963198</v>
      </c>
      <c r="H70" s="20" t="n">
        <v>2.49269657</v>
      </c>
      <c r="I70" s="18" t="s">
        <v>349</v>
      </c>
      <c r="J70" s="20" t="s">
        <v>349</v>
      </c>
      <c r="K70" s="18" t="n">
        <v>0.17554679</v>
      </c>
      <c r="L70" s="20" t="n">
        <v>0.17780826</v>
      </c>
      <c r="M70" s="18" t="n">
        <v>0</v>
      </c>
      <c r="N70" s="20" t="n">
        <v>0</v>
      </c>
      <c r="O70" s="18" t="n">
        <v>0</v>
      </c>
      <c r="P70" s="20" t="n">
        <v>0</v>
      </c>
      <c r="Q70" s="18" t="n">
        <v>2.01670387</v>
      </c>
      <c r="R70" s="20" t="n">
        <v>0.90072245</v>
      </c>
    </row>
    <row r="71" spans="1:18">
      <c r="A71" s="15" t="s">
        <v>413</v>
      </c>
      <c r="B71" s="17" t="n">
        <v>3142</v>
      </c>
      <c r="C71" s="18">
        <f>(2746.0/B71*100)</f>
        <v/>
      </c>
      <c r="D71" s="19" t="n">
        <v>396</v>
      </c>
      <c r="E71" s="18" t="n">
        <v>47.04414823</v>
      </c>
      <c r="F71" s="20" t="n">
        <v>2.49539567</v>
      </c>
      <c r="G71" s="18" t="n">
        <v>51.80448435</v>
      </c>
      <c r="H71" s="20" t="n">
        <v>2.5797837</v>
      </c>
      <c r="I71" s="18" t="s">
        <v>349</v>
      </c>
      <c r="J71" s="20" t="s">
        <v>349</v>
      </c>
      <c r="K71" s="18" t="n">
        <v>0.29815884</v>
      </c>
      <c r="L71" s="20" t="n">
        <v>0.29773054</v>
      </c>
      <c r="M71" s="18" t="n">
        <v>0</v>
      </c>
      <c r="N71" s="20" t="n">
        <v>0</v>
      </c>
      <c r="O71" s="18" t="n">
        <v>0</v>
      </c>
      <c r="P71" s="20" t="n">
        <v>0</v>
      </c>
      <c r="Q71" s="18" t="n">
        <v>0.85320858</v>
      </c>
      <c r="R71" s="20" t="n">
        <v>0.50948908</v>
      </c>
    </row>
    <row r="72" spans="1:18">
      <c r="A72" s="15" t="s">
        <v>414</v>
      </c>
      <c r="B72" s="17" t="n">
        <v>3889</v>
      </c>
      <c r="C72" s="18">
        <f>(3400.0/B72*100)</f>
        <v/>
      </c>
      <c r="D72" s="19" t="n">
        <v>489</v>
      </c>
      <c r="E72" s="18" t="n">
        <v>48.37016955</v>
      </c>
      <c r="F72" s="20" t="n">
        <v>2.55257428</v>
      </c>
      <c r="G72" s="18" t="n">
        <v>49.58102441</v>
      </c>
      <c r="H72" s="20" t="n">
        <v>2.50189274</v>
      </c>
      <c r="I72" s="18" t="s">
        <v>349</v>
      </c>
      <c r="J72" s="20" t="s">
        <v>349</v>
      </c>
      <c r="K72" s="18" t="n">
        <v>0.13802749</v>
      </c>
      <c r="L72" s="20" t="n">
        <v>0.13989785</v>
      </c>
      <c r="M72" s="18" t="n">
        <v>0</v>
      </c>
      <c r="N72" s="20" t="n">
        <v>0</v>
      </c>
      <c r="O72" s="18" t="n">
        <v>0</v>
      </c>
      <c r="P72" s="20" t="n">
        <v>0</v>
      </c>
      <c r="Q72" s="18" t="n">
        <v>1.91077854</v>
      </c>
      <c r="R72" s="20" t="n">
        <v>0.67327777</v>
      </c>
    </row>
    <row r="73" spans="1:18">
      <c r="A73" s="15" t="s">
        <v>415</v>
      </c>
      <c r="B73" s="17" t="n">
        <v>3597</v>
      </c>
      <c r="C73" s="18">
        <f>(3174.0/B73*100)</f>
        <v/>
      </c>
      <c r="D73" s="19" t="n">
        <v>423</v>
      </c>
      <c r="E73" s="18" t="n">
        <v>90.06011350999999</v>
      </c>
      <c r="F73" s="20" t="n">
        <v>1.9071229</v>
      </c>
      <c r="G73" s="18" t="n">
        <v>7.7842292</v>
      </c>
      <c r="H73" s="20" t="n">
        <v>1.53286031</v>
      </c>
      <c r="I73" s="18" t="s">
        <v>349</v>
      </c>
      <c r="J73" s="20" t="s">
        <v>349</v>
      </c>
      <c r="K73" s="18" t="n">
        <v>0</v>
      </c>
      <c r="L73" s="20" t="n">
        <v>0</v>
      </c>
      <c r="M73" s="18" t="n">
        <v>0</v>
      </c>
      <c r="N73" s="20" t="n">
        <v>0</v>
      </c>
      <c r="O73" s="18" t="n">
        <v>0</v>
      </c>
      <c r="P73" s="20" t="n">
        <v>0</v>
      </c>
      <c r="Q73" s="18" t="n">
        <v>2.15565729</v>
      </c>
      <c r="R73" s="20" t="n">
        <v>0.9196871</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(2148.0/B75*100)</f>
        <v/>
      </c>
      <c r="D75" s="19" t="n">
        <v>258</v>
      </c>
      <c r="E75" s="18" t="n">
        <v>83.12035659999999</v>
      </c>
      <c r="F75" s="20" t="n">
        <v>2.62853395</v>
      </c>
      <c r="G75" s="18" t="n">
        <v>7.32459679</v>
      </c>
      <c r="H75" s="20" t="n">
        <v>1.97710917</v>
      </c>
      <c r="I75" s="18" t="s">
        <v>349</v>
      </c>
      <c r="J75" s="20" t="s">
        <v>349</v>
      </c>
      <c r="K75" s="18" t="n">
        <v>4.511657</v>
      </c>
      <c r="L75" s="20" t="n">
        <v>1.52560985</v>
      </c>
      <c r="M75" s="18" t="n">
        <v>0</v>
      </c>
      <c r="N75" s="20" t="n">
        <v>0</v>
      </c>
      <c r="O75" s="18" t="n">
        <v>0</v>
      </c>
      <c r="P75" s="20" t="n">
        <v>0</v>
      </c>
      <c r="Q75" s="18" t="n">
        <v>5.04338962</v>
      </c>
      <c r="R75" s="20" t="n">
        <v>1.64277583</v>
      </c>
    </row>
    <row r="76" spans="1:18">
      <c r="A76" s="15" t="s">
        <v>418</v>
      </c>
      <c r="B76" s="17" t="n">
        <v>7052</v>
      </c>
      <c r="C76" s="18">
        <f>(6201.0/B76*100)</f>
        <v/>
      </c>
      <c r="D76" s="19" t="n">
        <v>851</v>
      </c>
      <c r="E76" s="18" t="n">
        <v>88.04984069</v>
      </c>
      <c r="F76" s="20" t="n">
        <v>1.52647454</v>
      </c>
      <c r="G76" s="18" t="n">
        <v>8.2483488</v>
      </c>
      <c r="H76" s="20" t="n">
        <v>1.40510335</v>
      </c>
      <c r="I76" s="18" t="s">
        <v>349</v>
      </c>
      <c r="J76" s="20" t="s">
        <v>349</v>
      </c>
      <c r="K76" s="18" t="n">
        <v>1.08750034</v>
      </c>
      <c r="L76" s="20" t="n">
        <v>0.40398654</v>
      </c>
      <c r="M76" s="18" t="n">
        <v>0</v>
      </c>
      <c r="N76" s="20" t="n">
        <v>0</v>
      </c>
      <c r="O76" s="18" t="n">
        <v>0</v>
      </c>
      <c r="P76" s="20" t="n">
        <v>0</v>
      </c>
      <c r="Q76" s="18" t="n">
        <v>2.61431017</v>
      </c>
      <c r="R76" s="20" t="n">
        <v>0.71803225</v>
      </c>
    </row>
    <row r="77" spans="1:18">
      <c r="A77" s="15" t="s">
        <v>419</v>
      </c>
      <c r="B77" s="17" t="n">
        <v>2908</v>
      </c>
      <c r="C77" s="18">
        <f>(2566.0/B77*100)</f>
        <v/>
      </c>
      <c r="D77" s="19" t="n">
        <v>342</v>
      </c>
      <c r="E77" s="18" t="n">
        <v>76.74253252</v>
      </c>
      <c r="F77" s="20" t="n">
        <v>2.58849909</v>
      </c>
      <c r="G77" s="18" t="n">
        <v>11.04166832</v>
      </c>
      <c r="H77" s="20" t="n">
        <v>1.90096632</v>
      </c>
      <c r="I77" s="18" t="s">
        <v>349</v>
      </c>
      <c r="J77" s="20" t="s">
        <v>349</v>
      </c>
      <c r="K77" s="18" t="n">
        <v>1.70838314</v>
      </c>
      <c r="L77" s="20" t="n">
        <v>0.7441127</v>
      </c>
      <c r="M77" s="18" t="n">
        <v>0</v>
      </c>
      <c r="N77" s="20" t="n">
        <v>0</v>
      </c>
      <c r="O77" s="18" t="n">
        <v>0</v>
      </c>
      <c r="P77" s="20" t="n">
        <v>0</v>
      </c>
      <c r="Q77" s="18" t="n">
        <v>10.50741603</v>
      </c>
      <c r="R77" s="20" t="n">
        <v>1.99189611</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(3643.0/B81*100)</f>
        <v/>
      </c>
      <c r="D81" s="19" t="n">
        <v>520</v>
      </c>
      <c r="E81" s="18" t="n">
        <v>84.86305196000001</v>
      </c>
      <c r="F81" s="20" t="n">
        <v>1.92535644</v>
      </c>
      <c r="G81" s="18" t="n">
        <v>14.72974257</v>
      </c>
      <c r="H81" s="20" t="n">
        <v>1.86387542</v>
      </c>
      <c r="I81" s="18" t="s">
        <v>349</v>
      </c>
      <c r="J81" s="20" t="s">
        <v>349</v>
      </c>
      <c r="K81" s="18" t="n">
        <v>0</v>
      </c>
      <c r="L81" s="20" t="n">
        <v>0</v>
      </c>
      <c r="M81" s="18" t="n">
        <v>0</v>
      </c>
      <c r="N81" s="20" t="n">
        <v>0</v>
      </c>
      <c r="O81" s="18" t="n">
        <v>0</v>
      </c>
      <c r="P81" s="20" t="n">
        <v>0</v>
      </c>
      <c r="Q81" s="18" t="n">
        <v>0.40720548</v>
      </c>
      <c r="R81" s="20" t="n">
        <v>0.29601842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(6455.0/B7*100)</f>
        <v/>
      </c>
      <c r="D7" s="19" t="n">
        <v>912</v>
      </c>
      <c r="E7" s="18" t="n">
        <v>14.74031981</v>
      </c>
      <c r="F7" s="20" t="n">
        <v>1.43487572</v>
      </c>
      <c r="G7" s="18" t="n">
        <v>84.07948712</v>
      </c>
      <c r="H7" s="20" t="n">
        <v>1.50711454</v>
      </c>
      <c r="I7" s="18" t="s">
        <v>349</v>
      </c>
      <c r="J7" s="20" t="s">
        <v>349</v>
      </c>
      <c r="K7" s="18" t="n">
        <v>1.18019307</v>
      </c>
      <c r="L7" s="20" t="n">
        <v>0.44212243</v>
      </c>
      <c r="M7" s="18" t="n">
        <v>0</v>
      </c>
      <c r="N7" s="20" t="n">
        <v>0</v>
      </c>
      <c r="O7" s="18" t="n">
        <v>0</v>
      </c>
      <c r="P7" s="20" t="n">
        <v>0</v>
      </c>
      <c r="Q7" s="18" t="n">
        <v>0</v>
      </c>
      <c r="R7" s="20" t="n">
        <v>0</v>
      </c>
    </row>
    <row r="8" spans="1:18">
      <c r="A8" s="15" t="s">
        <v>350</v>
      </c>
      <c r="B8" s="17" t="n">
        <v>3564</v>
      </c>
      <c r="C8" s="18">
        <f>(3131.0/B8*100)</f>
        <v/>
      </c>
      <c r="D8" s="19" t="n">
        <v>433</v>
      </c>
      <c r="E8" s="18" t="n">
        <v>13.94180945</v>
      </c>
      <c r="F8" s="20" t="n">
        <v>1.61409106</v>
      </c>
      <c r="G8" s="18" t="n">
        <v>85.56465584999999</v>
      </c>
      <c r="H8" s="20" t="n">
        <v>1.68185168</v>
      </c>
      <c r="I8" s="18" t="s">
        <v>349</v>
      </c>
      <c r="J8" s="20" t="s">
        <v>349</v>
      </c>
      <c r="K8" s="18" t="n">
        <v>0.4935347</v>
      </c>
      <c r="L8" s="20" t="n">
        <v>0.36323192</v>
      </c>
      <c r="M8" s="18" t="n">
        <v>0</v>
      </c>
      <c r="N8" s="20" t="n">
        <v>0</v>
      </c>
      <c r="O8" s="18" t="n">
        <v>0</v>
      </c>
      <c r="P8" s="20" t="n">
        <v>0</v>
      </c>
      <c r="Q8" s="18" t="n">
        <v>0</v>
      </c>
      <c r="R8" s="20" t="n">
        <v>0</v>
      </c>
    </row>
    <row r="9" spans="1:18">
      <c r="A9" s="15" t="s">
        <v>351</v>
      </c>
      <c r="B9" s="17" t="n">
        <v>4899</v>
      </c>
      <c r="C9" s="18">
        <f>(4347.0/B9*100)</f>
        <v/>
      </c>
      <c r="D9" s="19" t="n">
        <v>552</v>
      </c>
      <c r="E9" s="18" t="n">
        <v>9.88202907</v>
      </c>
      <c r="F9" s="20" t="n">
        <v>1.2836076</v>
      </c>
      <c r="G9" s="18" t="n">
        <v>88.52642502</v>
      </c>
      <c r="H9" s="20" t="n">
        <v>1.40377945</v>
      </c>
      <c r="I9" s="18" t="s">
        <v>349</v>
      </c>
      <c r="J9" s="20" t="s">
        <v>349</v>
      </c>
      <c r="K9" s="18" t="n">
        <v>1.59154591</v>
      </c>
      <c r="L9" s="20" t="n">
        <v>0.52829733</v>
      </c>
      <c r="M9" s="18" t="n">
        <v>0</v>
      </c>
      <c r="N9" s="20" t="n">
        <v>0</v>
      </c>
      <c r="O9" s="18" t="n">
        <v>0</v>
      </c>
      <c r="P9" s="20" t="n">
        <v>0</v>
      </c>
      <c r="Q9" s="18" t="n">
        <v>0</v>
      </c>
      <c r="R9" s="20" t="n">
        <v>0</v>
      </c>
    </row>
    <row r="10" spans="1:18">
      <c r="A10" s="15" t="s">
        <v>352</v>
      </c>
      <c r="B10" s="17" t="n">
        <v>10036</v>
      </c>
      <c r="C10" s="18">
        <f>(8832.0/B10*100)</f>
        <v/>
      </c>
      <c r="D10" s="19" t="n">
        <v>1204</v>
      </c>
      <c r="E10" s="18" t="n">
        <v>9.00585759</v>
      </c>
      <c r="F10" s="20" t="n">
        <v>1.24851809</v>
      </c>
      <c r="G10" s="18" t="n">
        <v>89.73505365</v>
      </c>
      <c r="H10" s="20" t="n">
        <v>1.26942673</v>
      </c>
      <c r="I10" s="18" t="s">
        <v>349</v>
      </c>
      <c r="J10" s="20" t="s">
        <v>349</v>
      </c>
      <c r="K10" s="18" t="n">
        <v>1.25908876</v>
      </c>
      <c r="L10" s="20" t="n">
        <v>0.37672809</v>
      </c>
      <c r="M10" s="18" t="n">
        <v>0</v>
      </c>
      <c r="N10" s="20" t="n">
        <v>0</v>
      </c>
      <c r="O10" s="18" t="n">
        <v>0</v>
      </c>
      <c r="P10" s="20" t="n">
        <v>0</v>
      </c>
      <c r="Q10" s="18" t="n">
        <v>0</v>
      </c>
      <c r="R10" s="20" t="n">
        <v>0</v>
      </c>
    </row>
    <row r="11" spans="1:18">
      <c r="A11" s="15" t="s">
        <v>353</v>
      </c>
      <c r="B11" s="17" t="n">
        <v>3553</v>
      </c>
      <c r="C11" s="18">
        <f>(3144.0/B11*100)</f>
        <v/>
      </c>
      <c r="D11" s="19" t="n">
        <v>409</v>
      </c>
      <c r="E11" s="18" t="n">
        <v>0</v>
      </c>
      <c r="F11" s="20" t="n">
        <v>0</v>
      </c>
      <c r="G11" s="18" t="n">
        <v>0</v>
      </c>
      <c r="H11" s="20" t="n">
        <v>0</v>
      </c>
      <c r="I11" s="18" t="s">
        <v>349</v>
      </c>
      <c r="J11" s="20" t="s">
        <v>349</v>
      </c>
      <c r="K11" s="18" t="n">
        <v>0</v>
      </c>
      <c r="L11" s="20" t="n">
        <v>0</v>
      </c>
      <c r="M11" s="18" t="n">
        <v>100</v>
      </c>
      <c r="N11" s="20" t="n">
        <v>0</v>
      </c>
      <c r="O11" s="18" t="n">
        <v>0</v>
      </c>
      <c r="P11" s="20" t="n">
        <v>0</v>
      </c>
      <c r="Q11" s="18" t="n">
        <v>0</v>
      </c>
      <c r="R11" s="20" t="n">
        <v>0</v>
      </c>
    </row>
    <row r="12" spans="1:18">
      <c r="A12" s="15" t="s">
        <v>354</v>
      </c>
      <c r="B12" s="17" t="n">
        <v>3472</v>
      </c>
      <c r="C12" s="18">
        <f>(3059.0/B12*100)</f>
        <v/>
      </c>
      <c r="D12" s="19" t="n">
        <v>413</v>
      </c>
      <c r="E12" s="18" t="n">
        <v>6.28181946</v>
      </c>
      <c r="F12" s="20" t="n">
        <v>1.45274931</v>
      </c>
      <c r="G12" s="18" t="n">
        <v>92.73473851</v>
      </c>
      <c r="H12" s="20" t="n">
        <v>1.33094646</v>
      </c>
      <c r="I12" s="18" t="s">
        <v>349</v>
      </c>
      <c r="J12" s="20" t="s">
        <v>349</v>
      </c>
      <c r="K12" s="18" t="n">
        <v>0.98344202</v>
      </c>
      <c r="L12" s="20" t="n">
        <v>0.55953191</v>
      </c>
      <c r="M12" s="18" t="n">
        <v>0</v>
      </c>
      <c r="N12" s="20" t="n">
        <v>0</v>
      </c>
      <c r="O12" s="18" t="n">
        <v>0</v>
      </c>
      <c r="P12" s="20" t="n">
        <v>0</v>
      </c>
      <c r="Q12" s="18" t="n">
        <v>0</v>
      </c>
      <c r="R12" s="20" t="n">
        <v>0</v>
      </c>
    </row>
    <row r="13" spans="1:18">
      <c r="A13" s="15" t="s">
        <v>355</v>
      </c>
      <c r="B13" s="17" t="n">
        <v>3559</v>
      </c>
      <c r="C13" s="18">
        <f>(3143.0/B13*100)</f>
        <v/>
      </c>
      <c r="D13" s="19" t="n">
        <v>416</v>
      </c>
      <c r="E13" s="18" t="n">
        <v>11.62231408</v>
      </c>
      <c r="F13" s="20" t="n">
        <v>2.21628474</v>
      </c>
      <c r="G13" s="18" t="n">
        <v>87.30322133999999</v>
      </c>
      <c r="H13" s="20" t="n">
        <v>2.42573365</v>
      </c>
      <c r="I13" s="18" t="s">
        <v>349</v>
      </c>
      <c r="J13" s="20" t="s">
        <v>349</v>
      </c>
      <c r="K13" s="18" t="n">
        <v>1.07446459</v>
      </c>
      <c r="L13" s="20" t="n">
        <v>0.65008622</v>
      </c>
      <c r="M13" s="18" t="n">
        <v>0</v>
      </c>
      <c r="N13" s="20" t="n">
        <v>0</v>
      </c>
      <c r="O13" s="18" t="n">
        <v>0</v>
      </c>
      <c r="P13" s="20" t="n">
        <v>0</v>
      </c>
      <c r="Q13" s="18" t="n">
        <v>0</v>
      </c>
      <c r="R13" s="20" t="n">
        <v>0</v>
      </c>
    </row>
    <row r="14" spans="1:18">
      <c r="A14" s="15" t="s">
        <v>356</v>
      </c>
      <c r="B14" s="17" t="n">
        <v>2799</v>
      </c>
      <c r="C14" s="18">
        <f>(2479.0/B14*100)</f>
        <v/>
      </c>
      <c r="D14" s="19" t="n">
        <v>320</v>
      </c>
      <c r="E14" s="18" t="n">
        <v>7.38569653</v>
      </c>
      <c r="F14" s="20" t="n">
        <v>1.77844127</v>
      </c>
      <c r="G14" s="18" t="n">
        <v>90.95303822</v>
      </c>
      <c r="H14" s="20" t="n">
        <v>2.13853741</v>
      </c>
      <c r="I14" s="18" t="s">
        <v>349</v>
      </c>
      <c r="J14" s="20" t="s">
        <v>349</v>
      </c>
      <c r="K14" s="18" t="n">
        <v>1.66126525</v>
      </c>
      <c r="L14" s="20" t="n">
        <v>1.22109603</v>
      </c>
      <c r="M14" s="18" t="n">
        <v>0</v>
      </c>
      <c r="N14" s="20" t="n">
        <v>0</v>
      </c>
      <c r="O14" s="18" t="n">
        <v>0</v>
      </c>
      <c r="P14" s="20" t="n">
        <v>0</v>
      </c>
      <c r="Q14" s="18" t="n">
        <v>0</v>
      </c>
      <c r="R14" s="20" t="n">
        <v>0</v>
      </c>
    </row>
    <row r="15" spans="1:18">
      <c r="A15" s="15" t="s">
        <v>357</v>
      </c>
      <c r="B15" s="17" t="n">
        <v>3019</v>
      </c>
      <c r="C15" s="18">
        <f>(2653.0/B15*100)</f>
        <v/>
      </c>
      <c r="D15" s="19" t="n">
        <v>366</v>
      </c>
      <c r="E15" s="18" t="n">
        <v>5.63653954</v>
      </c>
      <c r="F15" s="20" t="n">
        <v>1.21442852</v>
      </c>
      <c r="G15" s="18" t="n">
        <v>94.11769199</v>
      </c>
      <c r="H15" s="20" t="n">
        <v>1.18698393</v>
      </c>
      <c r="I15" s="18" t="s">
        <v>349</v>
      </c>
      <c r="J15" s="20" t="s">
        <v>349</v>
      </c>
      <c r="K15" s="18" t="n">
        <v>0.24576846</v>
      </c>
      <c r="L15" s="20" t="n">
        <v>0.24605489</v>
      </c>
      <c r="M15" s="18" t="n">
        <v>0</v>
      </c>
      <c r="N15" s="20" t="n">
        <v>0</v>
      </c>
      <c r="O15" s="18" t="n">
        <v>0</v>
      </c>
      <c r="P15" s="20" t="n">
        <v>0</v>
      </c>
      <c r="Q15" s="18" t="n">
        <v>0</v>
      </c>
      <c r="R15" s="20" t="n">
        <v>0</v>
      </c>
    </row>
    <row r="16" spans="1:18">
      <c r="A16" s="15" t="s">
        <v>358</v>
      </c>
      <c r="B16" s="17" t="n">
        <v>2997</v>
      </c>
      <c r="C16" s="18">
        <f>(2644.0/B16*100)</f>
        <v/>
      </c>
      <c r="D16" s="19" t="n">
        <v>353</v>
      </c>
      <c r="E16" s="18" t="n">
        <v>13.90160576</v>
      </c>
      <c r="F16" s="20" t="n">
        <v>1.96301021</v>
      </c>
      <c r="G16" s="18" t="n">
        <v>84.05464526</v>
      </c>
      <c r="H16" s="20" t="n">
        <v>2.02879563</v>
      </c>
      <c r="I16" s="18" t="s">
        <v>349</v>
      </c>
      <c r="J16" s="20" t="s">
        <v>349</v>
      </c>
      <c r="K16" s="18" t="n">
        <v>2.04374898</v>
      </c>
      <c r="L16" s="20" t="n">
        <v>0.82423344</v>
      </c>
      <c r="M16" s="18" t="n">
        <v>0</v>
      </c>
      <c r="N16" s="20" t="n">
        <v>0</v>
      </c>
      <c r="O16" s="18" t="n">
        <v>0</v>
      </c>
      <c r="P16" s="20" t="n">
        <v>0</v>
      </c>
      <c r="Q16" s="18" t="n">
        <v>0</v>
      </c>
      <c r="R16" s="20" t="n">
        <v>0</v>
      </c>
    </row>
    <row r="17" spans="1:18">
      <c r="A17" s="15" t="s">
        <v>359</v>
      </c>
      <c r="B17" s="17" t="n">
        <v>3307</v>
      </c>
      <c r="C17" s="18">
        <f>(2896.0/B17*100)</f>
        <v/>
      </c>
      <c r="D17" s="19" t="n">
        <v>411</v>
      </c>
      <c r="E17" s="18" t="n">
        <v>11.98236941</v>
      </c>
      <c r="F17" s="20" t="n">
        <v>1.61042417</v>
      </c>
      <c r="G17" s="18" t="n">
        <v>87.06845896999999</v>
      </c>
      <c r="H17" s="20" t="n">
        <v>1.67272549</v>
      </c>
      <c r="I17" s="18" t="s">
        <v>349</v>
      </c>
      <c r="J17" s="20" t="s">
        <v>349</v>
      </c>
      <c r="K17" s="18" t="n">
        <v>0.94917162</v>
      </c>
      <c r="L17" s="20" t="n">
        <v>0.50845753</v>
      </c>
      <c r="M17" s="18" t="n">
        <v>0</v>
      </c>
      <c r="N17" s="20" t="n">
        <v>0</v>
      </c>
      <c r="O17" s="18" t="n">
        <v>0</v>
      </c>
      <c r="P17" s="20" t="n">
        <v>0</v>
      </c>
      <c r="Q17" s="18" t="n">
        <v>0</v>
      </c>
      <c r="R17" s="20" t="n">
        <v>0</v>
      </c>
    </row>
    <row r="18" spans="1:18">
      <c r="A18" s="15" t="s">
        <v>360</v>
      </c>
      <c r="B18" s="17" t="n">
        <v>2826</v>
      </c>
      <c r="C18" s="18">
        <f>(2486.0/B18*100)</f>
        <v/>
      </c>
      <c r="D18" s="19" t="n">
        <v>340</v>
      </c>
      <c r="E18" s="18" t="n">
        <v>10.82310384</v>
      </c>
      <c r="F18" s="20" t="n">
        <v>1.78474251</v>
      </c>
      <c r="G18" s="18" t="n">
        <v>87.31194970999999</v>
      </c>
      <c r="H18" s="20" t="n">
        <v>1.90114533</v>
      </c>
      <c r="I18" s="18" t="s">
        <v>349</v>
      </c>
      <c r="J18" s="20" t="s">
        <v>349</v>
      </c>
      <c r="K18" s="18" t="n">
        <v>1.86494645</v>
      </c>
      <c r="L18" s="20" t="n">
        <v>0.86813753</v>
      </c>
      <c r="M18" s="18" t="n">
        <v>0</v>
      </c>
      <c r="N18" s="20" t="n">
        <v>0</v>
      </c>
      <c r="O18" s="18" t="n">
        <v>0</v>
      </c>
      <c r="P18" s="20" t="n">
        <v>0</v>
      </c>
      <c r="Q18" s="18" t="n">
        <v>0</v>
      </c>
      <c r="R18" s="20" t="n">
        <v>0</v>
      </c>
    </row>
    <row r="19" spans="1:18">
      <c r="A19" s="15" t="s">
        <v>361</v>
      </c>
      <c r="B19" s="17" t="n">
        <v>2808</v>
      </c>
      <c r="C19" s="18">
        <f>(2463.0/B19*100)</f>
        <v/>
      </c>
      <c r="D19" s="19" t="n">
        <v>345</v>
      </c>
      <c r="E19" s="18" t="n">
        <v>6.26535816</v>
      </c>
      <c r="F19" s="20" t="n">
        <v>1.77217003</v>
      </c>
      <c r="G19" s="18" t="n">
        <v>92.63611362</v>
      </c>
      <c r="H19" s="20" t="n">
        <v>1.85776946</v>
      </c>
      <c r="I19" s="18" t="s">
        <v>349</v>
      </c>
      <c r="J19" s="20" t="s">
        <v>349</v>
      </c>
      <c r="K19" s="18" t="n">
        <v>1.09852823</v>
      </c>
      <c r="L19" s="20" t="n">
        <v>0.68756167</v>
      </c>
      <c r="M19" s="18" t="n">
        <v>0</v>
      </c>
      <c r="N19" s="20" t="n">
        <v>0</v>
      </c>
      <c r="O19" s="18" t="n">
        <v>0</v>
      </c>
      <c r="P19" s="20" t="n">
        <v>0</v>
      </c>
      <c r="Q19" s="18" t="n">
        <v>0</v>
      </c>
      <c r="R19" s="20" t="n">
        <v>0</v>
      </c>
    </row>
    <row r="20" spans="1:18">
      <c r="A20" s="15" t="s">
        <v>362</v>
      </c>
      <c r="B20" s="17" t="n">
        <v>1630</v>
      </c>
      <c r="C20" s="18">
        <f>(1435.0/B20*100)</f>
        <v/>
      </c>
      <c r="D20" s="19" t="n">
        <v>195</v>
      </c>
      <c r="E20" s="18" t="n">
        <v>7.69857072</v>
      </c>
      <c r="F20" s="20" t="n">
        <v>2.02109404</v>
      </c>
      <c r="G20" s="18" t="n">
        <v>90.81002968</v>
      </c>
      <c r="H20" s="20" t="n">
        <v>2.1849767</v>
      </c>
      <c r="I20" s="18" t="s">
        <v>349</v>
      </c>
      <c r="J20" s="20" t="s">
        <v>349</v>
      </c>
      <c r="K20" s="18" t="n">
        <v>1.4913996</v>
      </c>
      <c r="L20" s="20" t="n">
        <v>0.8671060900000001</v>
      </c>
      <c r="M20" s="18" t="n">
        <v>0</v>
      </c>
      <c r="N20" s="20" t="n">
        <v>0</v>
      </c>
      <c r="O20" s="18" t="n">
        <v>0</v>
      </c>
      <c r="P20" s="20" t="n">
        <v>0</v>
      </c>
      <c r="Q20" s="18" t="n">
        <v>0</v>
      </c>
      <c r="R20" s="20" t="n">
        <v>0</v>
      </c>
    </row>
    <row r="21" spans="1:18">
      <c r="A21" s="15" t="s">
        <v>363</v>
      </c>
      <c r="B21" s="17" t="n">
        <v>2908</v>
      </c>
      <c r="C21" s="18">
        <f>(2416.0/B21*100)</f>
        <v/>
      </c>
      <c r="D21" s="19" t="n">
        <v>492</v>
      </c>
      <c r="E21" s="18" t="n">
        <v>14.09033248</v>
      </c>
      <c r="F21" s="20" t="n">
        <v>1.71139668</v>
      </c>
      <c r="G21" s="18" t="n">
        <v>84.93616419</v>
      </c>
      <c r="H21" s="20" t="n">
        <v>1.80404553</v>
      </c>
      <c r="I21" s="18" t="s">
        <v>349</v>
      </c>
      <c r="J21" s="20" t="s">
        <v>349</v>
      </c>
      <c r="K21" s="18" t="n">
        <v>0.97350333</v>
      </c>
      <c r="L21" s="20" t="n">
        <v>0.47380408</v>
      </c>
      <c r="M21" s="18" t="n">
        <v>0</v>
      </c>
      <c r="N21" s="20" t="n">
        <v>0</v>
      </c>
      <c r="O21" s="18" t="n">
        <v>0</v>
      </c>
      <c r="P21" s="20" t="n">
        <v>0</v>
      </c>
      <c r="Q21" s="18" t="n">
        <v>0</v>
      </c>
      <c r="R21" s="20" t="n">
        <v>0</v>
      </c>
    </row>
    <row r="22" spans="1:18">
      <c r="A22" s="15" t="s">
        <v>364</v>
      </c>
      <c r="B22" s="17" t="n">
        <v>2931</v>
      </c>
      <c r="C22" s="18">
        <f>(2590.0/B22*100)</f>
        <v/>
      </c>
      <c r="D22" s="19" t="n">
        <v>341</v>
      </c>
      <c r="E22" s="18" t="n">
        <v>12.39465134</v>
      </c>
      <c r="F22" s="20" t="n">
        <v>1.78233336</v>
      </c>
      <c r="G22" s="18" t="n">
        <v>85.97860221000001</v>
      </c>
      <c r="H22" s="20" t="n">
        <v>2.15956222</v>
      </c>
      <c r="I22" s="18" t="s">
        <v>349</v>
      </c>
      <c r="J22" s="20" t="s">
        <v>349</v>
      </c>
      <c r="K22" s="18" t="n">
        <v>1.62674646</v>
      </c>
      <c r="L22" s="20" t="n">
        <v>0.86558773</v>
      </c>
      <c r="M22" s="18" t="n">
        <v>0</v>
      </c>
      <c r="N22" s="20" t="n">
        <v>0</v>
      </c>
      <c r="O22" s="18" t="n">
        <v>0</v>
      </c>
      <c r="P22" s="20" t="n">
        <v>0</v>
      </c>
      <c r="Q22" s="18" t="n">
        <v>0</v>
      </c>
      <c r="R22" s="20" t="n">
        <v>0</v>
      </c>
    </row>
    <row r="23" spans="1:18">
      <c r="A23" s="15" t="s">
        <v>365</v>
      </c>
      <c r="B23" s="17" t="n">
        <v>5791</v>
      </c>
      <c r="C23" s="18">
        <f>(5077.0/B23*100)</f>
        <v/>
      </c>
      <c r="D23" s="19" t="n">
        <v>714</v>
      </c>
      <c r="E23" s="18" t="n">
        <v>8.407726439999999</v>
      </c>
      <c r="F23" s="20" t="n">
        <v>1.66600826</v>
      </c>
      <c r="G23" s="18" t="n">
        <v>90.26418163</v>
      </c>
      <c r="H23" s="20" t="n">
        <v>1.66456169</v>
      </c>
      <c r="I23" s="18" t="s">
        <v>349</v>
      </c>
      <c r="J23" s="20" t="s">
        <v>349</v>
      </c>
      <c r="K23" s="18" t="n">
        <v>1.32809193</v>
      </c>
      <c r="L23" s="20" t="n">
        <v>0.58079451</v>
      </c>
      <c r="M23" s="18" t="n">
        <v>0</v>
      </c>
      <c r="N23" s="20" t="n">
        <v>0</v>
      </c>
      <c r="O23" s="18" t="n">
        <v>0</v>
      </c>
      <c r="P23" s="20" t="n">
        <v>0</v>
      </c>
      <c r="Q23" s="18" t="n">
        <v>0</v>
      </c>
      <c r="R23" s="20" t="n">
        <v>0</v>
      </c>
    </row>
    <row r="24" spans="1:18">
      <c r="A24" s="15" t="s">
        <v>366</v>
      </c>
      <c r="B24" s="17" t="n">
        <v>3338</v>
      </c>
      <c r="C24" s="18">
        <f>(2927.0/B24*100)</f>
        <v/>
      </c>
      <c r="D24" s="19" t="n">
        <v>411</v>
      </c>
      <c r="E24" s="18" t="n">
        <v>2.96944712</v>
      </c>
      <c r="F24" s="20" t="n">
        <v>0.79026134</v>
      </c>
      <c r="G24" s="18" t="n">
        <v>95.641761</v>
      </c>
      <c r="H24" s="20" t="n">
        <v>0.8418444899999999</v>
      </c>
      <c r="I24" s="18" t="s">
        <v>349</v>
      </c>
      <c r="J24" s="20" t="s">
        <v>349</v>
      </c>
      <c r="K24" s="18" t="n">
        <v>1.38879188</v>
      </c>
      <c r="L24" s="20" t="n">
        <v>0.56899814</v>
      </c>
      <c r="M24" s="18" t="n">
        <v>0</v>
      </c>
      <c r="N24" s="20" t="n">
        <v>0</v>
      </c>
      <c r="O24" s="18" t="n">
        <v>0</v>
      </c>
      <c r="P24" s="20" t="n">
        <v>0</v>
      </c>
      <c r="Q24" s="18" t="n">
        <v>0</v>
      </c>
      <c r="R24" s="20" t="n">
        <v>0</v>
      </c>
    </row>
    <row r="25" spans="1:18">
      <c r="A25" s="15" t="s">
        <v>367</v>
      </c>
      <c r="B25" s="17" t="n">
        <v>2912</v>
      </c>
      <c r="C25" s="18">
        <f>(2574.0/B25*100)</f>
        <v/>
      </c>
      <c r="D25" s="19" t="n">
        <v>338</v>
      </c>
      <c r="E25" s="18" t="n">
        <v>4.00480887</v>
      </c>
      <c r="F25" s="20" t="n">
        <v>1.16450711</v>
      </c>
      <c r="G25" s="18" t="n">
        <v>95.02438775</v>
      </c>
      <c r="H25" s="20" t="n">
        <v>1.28857177</v>
      </c>
      <c r="I25" s="18" t="s">
        <v>349</v>
      </c>
      <c r="J25" s="20" t="s">
        <v>349</v>
      </c>
      <c r="K25" s="18" t="n">
        <v>0.97080338</v>
      </c>
      <c r="L25" s="20" t="n">
        <v>0.56999517</v>
      </c>
      <c r="M25" s="18" t="n">
        <v>0</v>
      </c>
      <c r="N25" s="20" t="n">
        <v>0</v>
      </c>
      <c r="O25" s="18" t="n">
        <v>0</v>
      </c>
      <c r="P25" s="20" t="n">
        <v>0</v>
      </c>
      <c r="Q25" s="18" t="n">
        <v>0</v>
      </c>
      <c r="R25" s="20" t="n">
        <v>0</v>
      </c>
    </row>
    <row r="26" spans="1:18">
      <c r="A26" s="15" t="s">
        <v>368</v>
      </c>
      <c r="B26" s="17" t="n">
        <v>2450</v>
      </c>
      <c r="C26" s="18">
        <f>(2135.0/B26*100)</f>
        <v/>
      </c>
      <c r="D26" s="19" t="n">
        <v>315</v>
      </c>
      <c r="E26" s="18" t="n">
        <v>8.183402790000001</v>
      </c>
      <c r="F26" s="20" t="n">
        <v>1.68227788</v>
      </c>
      <c r="G26" s="18" t="n">
        <v>91.81659721</v>
      </c>
      <c r="H26" s="20" t="n">
        <v>1.68227788</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(2312.0/B27*100)</f>
        <v/>
      </c>
      <c r="D27" s="19" t="n">
        <v>304</v>
      </c>
      <c r="E27" s="18" t="n">
        <v>12.12843599</v>
      </c>
      <c r="F27" s="20" t="n">
        <v>1.9631427</v>
      </c>
      <c r="G27" s="18" t="n">
        <v>87.23269295</v>
      </c>
      <c r="H27" s="20" t="n">
        <v>2.0364286</v>
      </c>
      <c r="I27" s="18" t="s">
        <v>349</v>
      </c>
      <c r="J27" s="20" t="s">
        <v>349</v>
      </c>
      <c r="K27" s="18" t="n">
        <v>0.63887106</v>
      </c>
      <c r="L27" s="20" t="n">
        <v>0.44459085</v>
      </c>
      <c r="M27" s="18" t="n">
        <v>0</v>
      </c>
      <c r="N27" s="20" t="n">
        <v>0</v>
      </c>
      <c r="O27" s="18" t="n">
        <v>0</v>
      </c>
      <c r="P27" s="20" t="n">
        <v>0</v>
      </c>
      <c r="Q27" s="18" t="n">
        <v>0</v>
      </c>
      <c r="R27" s="20" t="n">
        <v>0</v>
      </c>
    </row>
    <row r="28" spans="1:18">
      <c r="A28" s="15" t="s">
        <v>370</v>
      </c>
      <c r="B28" s="17" t="n">
        <v>3765</v>
      </c>
      <c r="C28" s="18">
        <f>(3327.0/B28*100)</f>
        <v/>
      </c>
      <c r="D28" s="19" t="n">
        <v>438</v>
      </c>
      <c r="E28" s="18" t="n">
        <v>13.50627344</v>
      </c>
      <c r="F28" s="20" t="n">
        <v>1.97867201</v>
      </c>
      <c r="G28" s="18" t="n">
        <v>85.15719194</v>
      </c>
      <c r="H28" s="20" t="n">
        <v>1.99491929</v>
      </c>
      <c r="I28" s="18" t="s">
        <v>349</v>
      </c>
      <c r="J28" s="20" t="s">
        <v>349</v>
      </c>
      <c r="K28" s="18" t="n">
        <v>1.33653462</v>
      </c>
      <c r="L28" s="20" t="n">
        <v>0.63416503</v>
      </c>
      <c r="M28" s="18" t="n">
        <v>0</v>
      </c>
      <c r="N28" s="20" t="n">
        <v>0</v>
      </c>
      <c r="O28" s="18" t="n">
        <v>0</v>
      </c>
      <c r="P28" s="20" t="n">
        <v>0</v>
      </c>
      <c r="Q28" s="18" t="n">
        <v>0</v>
      </c>
      <c r="R28" s="20" t="n">
        <v>0</v>
      </c>
    </row>
    <row r="29" spans="1:18">
      <c r="A29" s="15" t="s">
        <v>371</v>
      </c>
      <c r="B29" s="17" t="n">
        <v>2685</v>
      </c>
      <c r="C29" s="18">
        <f>(2377.0/B29*100)</f>
        <v/>
      </c>
      <c r="D29" s="19" t="n">
        <v>308</v>
      </c>
      <c r="E29" s="18" t="n">
        <v>10.82585399</v>
      </c>
      <c r="F29" s="20" t="n">
        <v>1.55910759</v>
      </c>
      <c r="G29" s="18" t="n">
        <v>89.17414601</v>
      </c>
      <c r="H29" s="20" t="n">
        <v>1.55910759</v>
      </c>
      <c r="I29" s="18" t="s">
        <v>349</v>
      </c>
      <c r="J29" s="20" t="s">
        <v>349</v>
      </c>
      <c r="K29" s="18" t="n">
        <v>0</v>
      </c>
      <c r="L29" s="20" t="n">
        <v>0</v>
      </c>
      <c r="M29" s="18" t="n">
        <v>0</v>
      </c>
      <c r="N29" s="20" t="n">
        <v>0</v>
      </c>
      <c r="O29" s="18" t="n">
        <v>0</v>
      </c>
      <c r="P29" s="20" t="n">
        <v>0</v>
      </c>
      <c r="Q29" s="18" t="n">
        <v>0</v>
      </c>
      <c r="R29" s="20" t="n">
        <v>0</v>
      </c>
    </row>
    <row r="30" spans="1:18">
      <c r="A30" s="15" t="s">
        <v>372</v>
      </c>
      <c r="B30" s="17" t="n">
        <v>2263</v>
      </c>
      <c r="C30" s="18">
        <f>(1979.0/B30*100)</f>
        <v/>
      </c>
      <c r="D30" s="19" t="n">
        <v>284</v>
      </c>
      <c r="E30" s="18" t="n">
        <v>15.30830799</v>
      </c>
      <c r="F30" s="20" t="n">
        <v>2.13674971</v>
      </c>
      <c r="G30" s="18" t="n">
        <v>83.04980089</v>
      </c>
      <c r="H30" s="20" t="n">
        <v>2.35491498</v>
      </c>
      <c r="I30" s="18" t="s">
        <v>349</v>
      </c>
      <c r="J30" s="20" t="s">
        <v>349</v>
      </c>
      <c r="K30" s="18" t="n">
        <v>1.64189112</v>
      </c>
      <c r="L30" s="20" t="n">
        <v>0.73817307</v>
      </c>
      <c r="M30" s="18" t="n">
        <v>0</v>
      </c>
      <c r="N30" s="20" t="n">
        <v>0</v>
      </c>
      <c r="O30" s="18" t="n">
        <v>0</v>
      </c>
      <c r="P30" s="20" t="n">
        <v>0</v>
      </c>
      <c r="Q30" s="18" t="n">
        <v>0</v>
      </c>
      <c r="R30" s="20" t="n">
        <v>0</v>
      </c>
    </row>
    <row r="31" spans="1:18">
      <c r="A31" s="15" t="s">
        <v>373</v>
      </c>
      <c r="B31" s="17" t="n">
        <v>2750</v>
      </c>
      <c r="C31" s="18">
        <f>(2424.0/B31*100)</f>
        <v/>
      </c>
      <c r="D31" s="19" t="n">
        <v>326</v>
      </c>
      <c r="E31" s="18" t="n">
        <v>4.21957513</v>
      </c>
      <c r="F31" s="20" t="n">
        <v>1.03293947</v>
      </c>
      <c r="G31" s="18" t="n">
        <v>94.2671419</v>
      </c>
      <c r="H31" s="20" t="n">
        <v>1.07729406</v>
      </c>
      <c r="I31" s="18" t="s">
        <v>349</v>
      </c>
      <c r="J31" s="20" t="s">
        <v>349</v>
      </c>
      <c r="K31" s="18" t="n">
        <v>1.51328296</v>
      </c>
      <c r="L31" s="20" t="n">
        <v>0.66903279</v>
      </c>
      <c r="M31" s="18" t="n">
        <v>0</v>
      </c>
      <c r="N31" s="20" t="n">
        <v>0</v>
      </c>
      <c r="O31" s="18" t="n">
        <v>0</v>
      </c>
      <c r="P31" s="20" t="n">
        <v>0</v>
      </c>
      <c r="Q31" s="18" t="n">
        <v>0</v>
      </c>
      <c r="R31" s="20" t="n">
        <v>0</v>
      </c>
    </row>
    <row r="32" spans="1:18">
      <c r="A32" s="15" t="s">
        <v>374</v>
      </c>
      <c r="B32" s="17" t="n">
        <v>2269</v>
      </c>
      <c r="C32" s="18">
        <f>(1906.0/B32*100)</f>
        <v/>
      </c>
      <c r="D32" s="19" t="n">
        <v>363</v>
      </c>
      <c r="E32" s="18" t="n">
        <v>6.79675518</v>
      </c>
      <c r="F32" s="20" t="n">
        <v>1.29237536</v>
      </c>
      <c r="G32" s="18" t="n">
        <v>92.84727989</v>
      </c>
      <c r="H32" s="20" t="n">
        <v>1.33017802</v>
      </c>
      <c r="I32" s="18" t="s">
        <v>349</v>
      </c>
      <c r="J32" s="20" t="s">
        <v>349</v>
      </c>
      <c r="K32" s="18" t="n">
        <v>0.35596494</v>
      </c>
      <c r="L32" s="20" t="n">
        <v>0.32839538</v>
      </c>
      <c r="M32" s="18" t="n">
        <v>0</v>
      </c>
      <c r="N32" s="20" t="n">
        <v>0</v>
      </c>
      <c r="O32" s="18" t="n">
        <v>0</v>
      </c>
      <c r="P32" s="20" t="n">
        <v>0</v>
      </c>
      <c r="Q32" s="18" t="n">
        <v>0</v>
      </c>
      <c r="R32" s="20" t="n">
        <v>0</v>
      </c>
    </row>
    <row r="33" spans="1:18">
      <c r="A33" s="15" t="s">
        <v>375</v>
      </c>
      <c r="B33" s="17" t="n">
        <v>3674</v>
      </c>
      <c r="C33" s="18">
        <f>(3240.0/B33*100)</f>
        <v/>
      </c>
      <c r="D33" s="19" t="n">
        <v>434</v>
      </c>
      <c r="E33" s="18" t="n">
        <v>19.54489357</v>
      </c>
      <c r="F33" s="20" t="n">
        <v>2.0918173</v>
      </c>
      <c r="G33" s="18" t="n">
        <v>78.45634559</v>
      </c>
      <c r="H33" s="20" t="n">
        <v>2.36360953</v>
      </c>
      <c r="I33" s="18" t="s">
        <v>349</v>
      </c>
      <c r="J33" s="20" t="s">
        <v>349</v>
      </c>
      <c r="K33" s="18" t="n">
        <v>1.99876084</v>
      </c>
      <c r="L33" s="20" t="n">
        <v>1.30096023</v>
      </c>
      <c r="M33" s="18" t="n">
        <v>0</v>
      </c>
      <c r="N33" s="20" t="n">
        <v>0</v>
      </c>
      <c r="O33" s="18" t="n">
        <v>0</v>
      </c>
      <c r="P33" s="20" t="n">
        <v>0</v>
      </c>
      <c r="Q33" s="18" t="n">
        <v>0</v>
      </c>
      <c r="R33" s="20" t="n">
        <v>0</v>
      </c>
    </row>
    <row r="34" spans="1:18">
      <c r="A34" s="15" t="s">
        <v>376</v>
      </c>
      <c r="B34" s="17" t="n">
        <v>3315</v>
      </c>
      <c r="C34" s="18">
        <f>(2912.0/B34*100)</f>
        <v/>
      </c>
      <c r="D34" s="19" t="n">
        <v>403</v>
      </c>
      <c r="E34" s="18" t="n">
        <v>9.12834589</v>
      </c>
      <c r="F34" s="20" t="n">
        <v>1.58180138</v>
      </c>
      <c r="G34" s="18" t="n">
        <v>90.08316354</v>
      </c>
      <c r="H34" s="20" t="n">
        <v>1.55121702</v>
      </c>
      <c r="I34" s="18" t="s">
        <v>349</v>
      </c>
      <c r="J34" s="20" t="s">
        <v>349</v>
      </c>
      <c r="K34" s="18" t="n">
        <v>0.78849057</v>
      </c>
      <c r="L34" s="20" t="n">
        <v>0.4805637</v>
      </c>
      <c r="M34" s="18" t="n">
        <v>0</v>
      </c>
      <c r="N34" s="20" t="n">
        <v>0</v>
      </c>
      <c r="O34" s="18" t="n">
        <v>0</v>
      </c>
      <c r="P34" s="20" t="n">
        <v>0</v>
      </c>
      <c r="Q34" s="18" t="n">
        <v>0</v>
      </c>
      <c r="R34" s="20" t="n">
        <v>0</v>
      </c>
    </row>
    <row r="35" spans="1:18">
      <c r="A35" s="15" t="s">
        <v>377</v>
      </c>
      <c r="B35" s="17" t="n">
        <v>3505</v>
      </c>
      <c r="C35" s="18">
        <f>(3097.0/B35*100)</f>
        <v/>
      </c>
      <c r="D35" s="19" t="n">
        <v>408</v>
      </c>
      <c r="E35" s="18" t="n">
        <v>4.85916559</v>
      </c>
      <c r="F35" s="20" t="n">
        <v>1.39178977</v>
      </c>
      <c r="G35" s="18" t="n">
        <v>94.88026743</v>
      </c>
      <c r="H35" s="20" t="n">
        <v>1.40095041</v>
      </c>
      <c r="I35" s="18" t="s">
        <v>349</v>
      </c>
      <c r="J35" s="20" t="s">
        <v>349</v>
      </c>
      <c r="K35" s="18" t="n">
        <v>0.26056699</v>
      </c>
      <c r="L35" s="20" t="n">
        <v>0.18601681</v>
      </c>
      <c r="M35" s="18" t="n">
        <v>0</v>
      </c>
      <c r="N35" s="20" t="n">
        <v>0</v>
      </c>
      <c r="O35" s="18" t="n">
        <v>0</v>
      </c>
      <c r="P35" s="20" t="n">
        <v>0</v>
      </c>
      <c r="Q35" s="18" t="n">
        <v>0</v>
      </c>
      <c r="R35" s="20" t="n">
        <v>0</v>
      </c>
    </row>
    <row r="36" spans="1:18">
      <c r="A36" s="15" t="s">
        <v>378</v>
      </c>
      <c r="B36" s="17" t="n">
        <v>3332</v>
      </c>
      <c r="C36" s="18">
        <f>(2940.0/B36*100)</f>
        <v/>
      </c>
      <c r="D36" s="19" t="n">
        <v>392</v>
      </c>
      <c r="E36" s="18" t="n">
        <v>8.766863349999999</v>
      </c>
      <c r="F36" s="20" t="n">
        <v>1.58778295</v>
      </c>
      <c r="G36" s="18" t="n">
        <v>90.14422557</v>
      </c>
      <c r="H36" s="20" t="n">
        <v>1.7847824</v>
      </c>
      <c r="I36" s="18" t="s">
        <v>349</v>
      </c>
      <c r="J36" s="20" t="s">
        <v>349</v>
      </c>
      <c r="K36" s="18" t="n">
        <v>1.08891108</v>
      </c>
      <c r="L36" s="20" t="n">
        <v>0.55280107</v>
      </c>
      <c r="M36" s="18" t="n">
        <v>0</v>
      </c>
      <c r="N36" s="20" t="n">
        <v>0</v>
      </c>
      <c r="O36" s="18" t="n">
        <v>0</v>
      </c>
      <c r="P36" s="20" t="n">
        <v>0</v>
      </c>
      <c r="Q36" s="18" t="n">
        <v>0</v>
      </c>
      <c r="R36" s="20" t="n">
        <v>0</v>
      </c>
    </row>
    <row r="37" spans="1:18">
      <c r="A37" s="15" t="s">
        <v>379</v>
      </c>
      <c r="B37" s="17" t="n">
        <v>2727</v>
      </c>
      <c r="C37" s="18">
        <f>(2403.0/B37*100)</f>
        <v/>
      </c>
      <c r="D37" s="19" t="n">
        <v>324</v>
      </c>
      <c r="E37" s="18" t="n">
        <v>6.14021895</v>
      </c>
      <c r="F37" s="20" t="n">
        <v>1.25094064</v>
      </c>
      <c r="G37" s="18" t="n">
        <v>90.34494456</v>
      </c>
      <c r="H37" s="20" t="n">
        <v>1.57509927</v>
      </c>
      <c r="I37" s="18" t="s">
        <v>349</v>
      </c>
      <c r="J37" s="20" t="s">
        <v>349</v>
      </c>
      <c r="K37" s="18" t="n">
        <v>3.51483649</v>
      </c>
      <c r="L37" s="20" t="n">
        <v>1.10168948</v>
      </c>
      <c r="M37" s="18" t="n">
        <v>0</v>
      </c>
      <c r="N37" s="20" t="n">
        <v>0</v>
      </c>
      <c r="O37" s="18" t="n">
        <v>0</v>
      </c>
      <c r="P37" s="20" t="n">
        <v>0</v>
      </c>
      <c r="Q37" s="18" t="n">
        <v>0</v>
      </c>
      <c r="R37" s="20" t="n">
        <v>0</v>
      </c>
    </row>
    <row r="38" spans="1:18">
      <c r="A38" s="15" t="s">
        <v>380</v>
      </c>
      <c r="B38" s="17" t="n">
        <v>3053</v>
      </c>
      <c r="C38" s="18">
        <f>(2554.0/B38*100)</f>
        <v/>
      </c>
      <c r="D38" s="19" t="n">
        <v>499</v>
      </c>
      <c r="E38" s="18" t="n">
        <v>14.81639789</v>
      </c>
      <c r="F38" s="20" t="n">
        <v>1.90633297</v>
      </c>
      <c r="G38" s="18" t="n">
        <v>83.46682527999999</v>
      </c>
      <c r="H38" s="20" t="n">
        <v>1.92217931</v>
      </c>
      <c r="I38" s="18" t="s">
        <v>349</v>
      </c>
      <c r="J38" s="20" t="s">
        <v>349</v>
      </c>
      <c r="K38" s="18" t="n">
        <v>1.71677683</v>
      </c>
      <c r="L38" s="20" t="n">
        <v>0.60415768</v>
      </c>
      <c r="M38" s="18" t="n">
        <v>0</v>
      </c>
      <c r="N38" s="20" t="n">
        <v>0</v>
      </c>
      <c r="O38" s="18" t="n">
        <v>0</v>
      </c>
      <c r="P38" s="20" t="n">
        <v>0</v>
      </c>
      <c r="Q38" s="18" t="n">
        <v>0</v>
      </c>
      <c r="R38" s="20" t="n">
        <v>0</v>
      </c>
    </row>
    <row r="39" spans="1:18">
      <c r="A39" s="15" t="s">
        <v>381</v>
      </c>
      <c r="B39" s="17" t="n">
        <v>2957</v>
      </c>
      <c r="C39" s="18">
        <f>(2599.0/B39*100)</f>
        <v/>
      </c>
      <c r="D39" s="19" t="n">
        <v>358</v>
      </c>
      <c r="E39" s="18" t="n">
        <v>10.80977637</v>
      </c>
      <c r="F39" s="20" t="n">
        <v>2.02209853</v>
      </c>
      <c r="G39" s="18" t="n">
        <v>88.14360676</v>
      </c>
      <c r="H39" s="20" t="n">
        <v>2.06384869</v>
      </c>
      <c r="I39" s="18" t="s">
        <v>349</v>
      </c>
      <c r="J39" s="20" t="s">
        <v>349</v>
      </c>
      <c r="K39" s="18" t="n">
        <v>1.04661687</v>
      </c>
      <c r="L39" s="20" t="n">
        <v>0.50156056</v>
      </c>
      <c r="M39" s="18" t="n">
        <v>0</v>
      </c>
      <c r="N39" s="20" t="n">
        <v>0</v>
      </c>
      <c r="O39" s="18" t="n">
        <v>0</v>
      </c>
      <c r="P39" s="20" t="n">
        <v>0</v>
      </c>
      <c r="Q39" s="18" t="n">
        <v>0</v>
      </c>
      <c r="R39" s="20" t="n">
        <v>0</v>
      </c>
    </row>
    <row r="40" spans="1:18">
      <c r="A40" s="15" t="s">
        <v>382</v>
      </c>
      <c r="B40" s="17" t="n">
        <v>7235</v>
      </c>
      <c r="C40" s="18">
        <f>(6331.0/B40*100)</f>
        <v/>
      </c>
      <c r="D40" s="19" t="n">
        <v>904</v>
      </c>
      <c r="E40" s="18" t="n">
        <v>11.43438687</v>
      </c>
      <c r="F40" s="20" t="n">
        <v>1.76023568</v>
      </c>
      <c r="G40" s="18" t="n">
        <v>87.75954043</v>
      </c>
      <c r="H40" s="20" t="n">
        <v>1.76151031</v>
      </c>
      <c r="I40" s="18" t="s">
        <v>349</v>
      </c>
      <c r="J40" s="20" t="s">
        <v>349</v>
      </c>
      <c r="K40" s="18" t="n">
        <v>0.8060727</v>
      </c>
      <c r="L40" s="20" t="n">
        <v>0.35889029</v>
      </c>
      <c r="M40" s="18" t="n">
        <v>0</v>
      </c>
      <c r="N40" s="20" t="n">
        <v>0</v>
      </c>
      <c r="O40" s="18" t="n">
        <v>0</v>
      </c>
      <c r="P40" s="20" t="n">
        <v>0</v>
      </c>
      <c r="Q40" s="18" t="n">
        <v>0</v>
      </c>
      <c r="R40" s="20" t="n">
        <v>0</v>
      </c>
    </row>
    <row r="41" spans="1:18">
      <c r="A41" s="15" t="s">
        <v>383</v>
      </c>
      <c r="B41" s="17" t="n">
        <v>2858</v>
      </c>
      <c r="C41" s="18">
        <f>(2482.0/B41*100)</f>
        <v/>
      </c>
      <c r="D41" s="19" t="n">
        <v>376</v>
      </c>
      <c r="E41" s="18" t="n">
        <v>19.68755859</v>
      </c>
      <c r="F41" s="20" t="n">
        <v>2.15675428</v>
      </c>
      <c r="G41" s="18" t="n">
        <v>80.10938822999999</v>
      </c>
      <c r="H41" s="20" t="n">
        <v>2.1729581</v>
      </c>
      <c r="I41" s="18" t="s">
        <v>349</v>
      </c>
      <c r="J41" s="20" t="s">
        <v>349</v>
      </c>
      <c r="K41" s="18" t="n">
        <v>0.20305318</v>
      </c>
      <c r="L41" s="20" t="n">
        <v>0.21139716</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(9970.0/B46*100)</f>
        <v/>
      </c>
      <c r="D46" s="19" t="n">
        <v>1098</v>
      </c>
      <c r="E46" s="18" t="n">
        <v>19.26537719</v>
      </c>
      <c r="F46" s="20" t="n">
        <v>1.65181692</v>
      </c>
      <c r="G46" s="18" t="n">
        <v>78.42940462</v>
      </c>
      <c r="H46" s="20" t="n">
        <v>1.61586474</v>
      </c>
      <c r="I46" s="18" t="s">
        <v>349</v>
      </c>
      <c r="J46" s="20" t="s">
        <v>349</v>
      </c>
      <c r="K46" s="18" t="n">
        <v>2.30521819</v>
      </c>
      <c r="L46" s="20" t="n">
        <v>0.64165964</v>
      </c>
      <c r="M46" s="18" t="n">
        <v>0</v>
      </c>
      <c r="N46" s="20" t="n">
        <v>0</v>
      </c>
      <c r="O46" s="18" t="n">
        <v>0</v>
      </c>
      <c r="P46" s="20" t="n">
        <v>0</v>
      </c>
      <c r="Q46" s="18" t="n">
        <v>0</v>
      </c>
      <c r="R46" s="20" t="n">
        <v>0</v>
      </c>
    </row>
    <row r="47" spans="1:18">
      <c r="A47" s="15" t="s">
        <v>389</v>
      </c>
      <c r="B47" s="17" t="n">
        <v>3105</v>
      </c>
      <c r="C47" s="18">
        <f>(2717.0/B47*100)</f>
        <v/>
      </c>
      <c r="D47" s="19" t="n">
        <v>388</v>
      </c>
      <c r="E47" s="18" t="n">
        <v>11.8588977</v>
      </c>
      <c r="F47" s="20" t="n">
        <v>1.70271165</v>
      </c>
      <c r="G47" s="18" t="n">
        <v>86.87411553</v>
      </c>
      <c r="H47" s="20" t="n">
        <v>1.85367904</v>
      </c>
      <c r="I47" s="18" t="s">
        <v>349</v>
      </c>
      <c r="J47" s="20" t="s">
        <v>349</v>
      </c>
      <c r="K47" s="18" t="n">
        <v>1.26698677</v>
      </c>
      <c r="L47" s="20" t="n">
        <v>0.52877726</v>
      </c>
      <c r="M47" s="18" t="n">
        <v>0</v>
      </c>
      <c r="N47" s="20" t="n">
        <v>0</v>
      </c>
      <c r="O47" s="18" t="n">
        <v>0</v>
      </c>
      <c r="P47" s="20" t="n">
        <v>0</v>
      </c>
      <c r="Q47" s="18" t="n">
        <v>0</v>
      </c>
      <c r="R47" s="20" t="n">
        <v>0</v>
      </c>
    </row>
    <row r="48" spans="1:18">
      <c r="A48" s="15" t="s">
        <v>390</v>
      </c>
      <c r="B48" s="17" t="n">
        <v>5159</v>
      </c>
      <c r="C48" s="18">
        <f>(4545.0/B48*100)</f>
        <v/>
      </c>
      <c r="D48" s="19" t="n">
        <v>614</v>
      </c>
      <c r="E48" s="18" t="n">
        <v>4.14012159</v>
      </c>
      <c r="F48" s="20" t="n">
        <v>0.94910954</v>
      </c>
      <c r="G48" s="18" t="n">
        <v>94.81655593000001</v>
      </c>
      <c r="H48" s="20" t="n">
        <v>0.96009827</v>
      </c>
      <c r="I48" s="18" t="s">
        <v>349</v>
      </c>
      <c r="J48" s="20" t="s">
        <v>349</v>
      </c>
      <c r="K48" s="18" t="n">
        <v>1.04332249</v>
      </c>
      <c r="L48" s="20" t="n">
        <v>0.54046651</v>
      </c>
      <c r="M48" s="18" t="n">
        <v>0</v>
      </c>
      <c r="N48" s="20" t="n">
        <v>0</v>
      </c>
      <c r="O48" s="18" t="n">
        <v>0</v>
      </c>
      <c r="P48" s="20" t="n">
        <v>0</v>
      </c>
      <c r="Q48" s="18" t="n">
        <v>0</v>
      </c>
      <c r="R48" s="20" t="n">
        <v>0</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(4977.0/B50*100)</f>
        <v/>
      </c>
      <c r="D50" s="19" t="n">
        <v>660</v>
      </c>
      <c r="E50" s="18" t="n">
        <v>21.68262094</v>
      </c>
      <c r="F50" s="20" t="n">
        <v>2.1740735</v>
      </c>
      <c r="G50" s="18" t="n">
        <v>76.79675097000001</v>
      </c>
      <c r="H50" s="20" t="n">
        <v>2.16044306</v>
      </c>
      <c r="I50" s="18" t="s">
        <v>349</v>
      </c>
      <c r="J50" s="20" t="s">
        <v>349</v>
      </c>
      <c r="K50" s="18" t="n">
        <v>1.5206281</v>
      </c>
      <c r="L50" s="20" t="n">
        <v>0.59183199</v>
      </c>
      <c r="M50" s="18" t="n">
        <v>0</v>
      </c>
      <c r="N50" s="20" t="n">
        <v>0</v>
      </c>
      <c r="O50" s="18" t="n">
        <v>0</v>
      </c>
      <c r="P50" s="20" t="n">
        <v>0</v>
      </c>
      <c r="Q50" s="18" t="n">
        <v>0</v>
      </c>
      <c r="R50" s="20" t="n">
        <v>0</v>
      </c>
    </row>
    <row r="51" spans="1:18">
      <c r="A51" s="15" t="s">
        <v>393</v>
      </c>
      <c r="B51" s="17" t="n">
        <v>3372</v>
      </c>
      <c r="C51" s="18">
        <f>(3011.0/B51*100)</f>
        <v/>
      </c>
      <c r="D51" s="19" t="n">
        <v>361</v>
      </c>
      <c r="E51" s="18" t="n">
        <v>11.88721328</v>
      </c>
      <c r="F51" s="20" t="n">
        <v>1.74198904</v>
      </c>
      <c r="G51" s="18" t="n">
        <v>85.96007924</v>
      </c>
      <c r="H51" s="20" t="n">
        <v>1.89807881</v>
      </c>
      <c r="I51" s="18" t="s">
        <v>349</v>
      </c>
      <c r="J51" s="20" t="s">
        <v>349</v>
      </c>
      <c r="K51" s="18" t="n">
        <v>2.15270747</v>
      </c>
      <c r="L51" s="20" t="n">
        <v>0.76381031</v>
      </c>
      <c r="M51" s="18" t="n">
        <v>0</v>
      </c>
      <c r="N51" s="20" t="n">
        <v>0</v>
      </c>
      <c r="O51" s="18" t="n">
        <v>0</v>
      </c>
      <c r="P51" s="20" t="n">
        <v>0</v>
      </c>
      <c r="Q51" s="18" t="n">
        <v>0</v>
      </c>
      <c r="R51" s="20" t="n">
        <v>0</v>
      </c>
    </row>
    <row r="52" spans="1:18">
      <c r="A52" s="15" t="s">
        <v>394</v>
      </c>
      <c r="B52" s="17" t="n">
        <v>2796</v>
      </c>
      <c r="C52" s="18">
        <f>(2437.0/B52*100)</f>
        <v/>
      </c>
      <c r="D52" s="19" t="n">
        <v>359</v>
      </c>
      <c r="E52" s="18" t="n">
        <v>11.0253533</v>
      </c>
      <c r="F52" s="20" t="n">
        <v>1.71715233</v>
      </c>
      <c r="G52" s="18" t="n">
        <v>88.10850239</v>
      </c>
      <c r="H52" s="20" t="n">
        <v>1.79299454</v>
      </c>
      <c r="I52" s="18" t="s">
        <v>349</v>
      </c>
      <c r="J52" s="20" t="s">
        <v>349</v>
      </c>
      <c r="K52" s="18" t="n">
        <v>0.86614431</v>
      </c>
      <c r="L52" s="20" t="n">
        <v>0.52884098</v>
      </c>
      <c r="M52" s="18" t="n">
        <v>0</v>
      </c>
      <c r="N52" s="20" t="n">
        <v>0</v>
      </c>
      <c r="O52" s="18" t="n">
        <v>0</v>
      </c>
      <c r="P52" s="20" t="n">
        <v>0</v>
      </c>
      <c r="Q52" s="18" t="n">
        <v>0</v>
      </c>
      <c r="R52" s="20" t="n">
        <v>0</v>
      </c>
    </row>
    <row r="53" spans="1:18">
      <c r="A53" s="15" t="s">
        <v>395</v>
      </c>
      <c r="B53" s="17" t="n">
        <v>2811</v>
      </c>
      <c r="C53" s="18">
        <f>(2458.0/B53*100)</f>
        <v/>
      </c>
      <c r="D53" s="19" t="n">
        <v>353</v>
      </c>
      <c r="E53" s="18" t="n">
        <v>13.10539732</v>
      </c>
      <c r="F53" s="20" t="n">
        <v>1.65813234</v>
      </c>
      <c r="G53" s="18" t="n">
        <v>86.11186578</v>
      </c>
      <c r="H53" s="20" t="n">
        <v>1.68055207</v>
      </c>
      <c r="I53" s="18" t="s">
        <v>349</v>
      </c>
      <c r="J53" s="20" t="s">
        <v>349</v>
      </c>
      <c r="K53" s="18" t="n">
        <v>0.7827369</v>
      </c>
      <c r="L53" s="20" t="n">
        <v>0.38975751</v>
      </c>
      <c r="M53" s="18" t="n">
        <v>0</v>
      </c>
      <c r="N53" s="20" t="n">
        <v>0</v>
      </c>
      <c r="O53" s="18" t="n">
        <v>0</v>
      </c>
      <c r="P53" s="20" t="n">
        <v>0</v>
      </c>
      <c r="Q53" s="18" t="n">
        <v>0</v>
      </c>
      <c r="R53" s="20" t="n">
        <v>0</v>
      </c>
    </row>
    <row r="54" spans="1:18">
      <c r="A54" s="15" t="s">
        <v>396</v>
      </c>
      <c r="B54" s="17" t="n">
        <v>2266</v>
      </c>
      <c r="C54" s="18">
        <f>(1909.0/B54*100)</f>
        <v/>
      </c>
      <c r="D54" s="19" t="n">
        <v>357</v>
      </c>
      <c r="E54" s="18" t="n">
        <v>23.1707646</v>
      </c>
      <c r="F54" s="20" t="n">
        <v>2.49226126</v>
      </c>
      <c r="G54" s="18" t="n">
        <v>65.85972687</v>
      </c>
      <c r="H54" s="20" t="n">
        <v>2.94034092</v>
      </c>
      <c r="I54" s="18" t="s">
        <v>349</v>
      </c>
      <c r="J54" s="20" t="s">
        <v>349</v>
      </c>
      <c r="K54" s="18" t="n">
        <v>10.96950852</v>
      </c>
      <c r="L54" s="20" t="n">
        <v>2.20745378</v>
      </c>
      <c r="M54" s="18" t="n">
        <v>0</v>
      </c>
      <c r="N54" s="20" t="n">
        <v>0</v>
      </c>
      <c r="O54" s="18" t="n">
        <v>0</v>
      </c>
      <c r="P54" s="20" t="n">
        <v>0</v>
      </c>
      <c r="Q54" s="18" t="n">
        <v>0</v>
      </c>
      <c r="R54" s="20" t="n">
        <v>0</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(2357.0/B56*100)</f>
        <v/>
      </c>
      <c r="D56" s="19" t="n">
        <v>327</v>
      </c>
      <c r="E56" s="18" t="n">
        <v>4.66908388</v>
      </c>
      <c r="F56" s="20" t="n">
        <v>1.21366837</v>
      </c>
      <c r="G56" s="18" t="n">
        <v>94.52191035</v>
      </c>
      <c r="H56" s="20" t="n">
        <v>1.36293347</v>
      </c>
      <c r="I56" s="18" t="s">
        <v>349</v>
      </c>
      <c r="J56" s="20" t="s">
        <v>349</v>
      </c>
      <c r="K56" s="18" t="n">
        <v>0.80900577</v>
      </c>
      <c r="L56" s="20" t="n">
        <v>0.47345295</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(2930.0/B61*100)</f>
        <v/>
      </c>
      <c r="D61" s="19" t="n">
        <v>394</v>
      </c>
      <c r="E61" s="18" t="n">
        <v>7.13562405</v>
      </c>
      <c r="F61" s="20" t="n">
        <v>1.14490774</v>
      </c>
      <c r="G61" s="18" t="n">
        <v>91.90177701</v>
      </c>
      <c r="H61" s="20" t="n">
        <v>1.31387505</v>
      </c>
      <c r="I61" s="18" t="s">
        <v>349</v>
      </c>
      <c r="J61" s="20" t="s">
        <v>349</v>
      </c>
      <c r="K61" s="18" t="n">
        <v>0.96259894</v>
      </c>
      <c r="L61" s="20" t="n">
        <v>0.51225974</v>
      </c>
      <c r="M61" s="18" t="n">
        <v>0</v>
      </c>
      <c r="N61" s="20" t="n">
        <v>0</v>
      </c>
      <c r="O61" s="18" t="n">
        <v>0</v>
      </c>
      <c r="P61" s="20" t="n">
        <v>0</v>
      </c>
      <c r="Q61" s="18" t="n">
        <v>0</v>
      </c>
      <c r="R61" s="20" t="n">
        <v>0</v>
      </c>
    </row>
    <row r="62" spans="1:18">
      <c r="A62" s="15" t="s">
        <v>404</v>
      </c>
      <c r="B62" s="17" t="n">
        <v>2246</v>
      </c>
      <c r="C62" s="18">
        <f>(1974.0/B62*100)</f>
        <v/>
      </c>
      <c r="D62" s="19" t="n">
        <v>272</v>
      </c>
      <c r="E62" s="18" t="n">
        <v>1.12159249</v>
      </c>
      <c r="F62" s="20" t="n">
        <v>0.64860472</v>
      </c>
      <c r="G62" s="18" t="n">
        <v>98.87840751</v>
      </c>
      <c r="H62" s="20" t="n">
        <v>0.64860472</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(2544.0/B66*100)</f>
        <v/>
      </c>
      <c r="D66" s="19" t="n">
        <v>350</v>
      </c>
      <c r="E66" s="18" t="n">
        <v>16.24178726</v>
      </c>
      <c r="F66" s="20" t="n">
        <v>2.15977565</v>
      </c>
      <c r="G66" s="18" t="n">
        <v>81.98138796000001</v>
      </c>
      <c r="H66" s="20" t="n">
        <v>2.18500065</v>
      </c>
      <c r="I66" s="18" t="s">
        <v>349</v>
      </c>
      <c r="J66" s="20" t="s">
        <v>349</v>
      </c>
      <c r="K66" s="18" t="n">
        <v>1.77682478</v>
      </c>
      <c r="L66" s="20" t="n">
        <v>0.68988038</v>
      </c>
      <c r="M66" s="18" t="n">
        <v>0</v>
      </c>
      <c r="N66" s="20" t="n">
        <v>0</v>
      </c>
      <c r="O66" s="18" t="n">
        <v>0</v>
      </c>
      <c r="P66" s="20" t="n">
        <v>0</v>
      </c>
      <c r="Q66" s="18" t="n">
        <v>0</v>
      </c>
      <c r="R66" s="20" t="n">
        <v>0</v>
      </c>
    </row>
    <row r="67" spans="1:18">
      <c r="A67" s="15" t="s">
        <v>409</v>
      </c>
      <c r="B67" s="17" t="n">
        <v>3511</v>
      </c>
      <c r="C67" s="18">
        <f>(3126.0/B67*100)</f>
        <v/>
      </c>
      <c r="D67" s="19" t="n">
        <v>385</v>
      </c>
      <c r="E67" s="18" t="n">
        <v>16.15179746</v>
      </c>
      <c r="F67" s="20" t="n">
        <v>2.00125094</v>
      </c>
      <c r="G67" s="18" t="n">
        <v>83.64108351</v>
      </c>
      <c r="H67" s="20" t="n">
        <v>2.03000495</v>
      </c>
      <c r="I67" s="18" t="s">
        <v>349</v>
      </c>
      <c r="J67" s="20" t="s">
        <v>349</v>
      </c>
      <c r="K67" s="18" t="n">
        <v>0.20711903</v>
      </c>
      <c r="L67" s="20" t="n">
        <v>0.21337141</v>
      </c>
      <c r="M67" s="18" t="n">
        <v>0</v>
      </c>
      <c r="N67" s="20" t="n">
        <v>0</v>
      </c>
      <c r="O67" s="18" t="n">
        <v>0</v>
      </c>
      <c r="P67" s="20" t="n">
        <v>0</v>
      </c>
      <c r="Q67" s="18" t="n">
        <v>0</v>
      </c>
      <c r="R67" s="20" t="n">
        <v>0</v>
      </c>
    </row>
    <row r="68" spans="1:18">
      <c r="A68" s="15" t="s">
        <v>410</v>
      </c>
      <c r="B68" s="17" t="n">
        <v>6049</v>
      </c>
      <c r="C68" s="18">
        <f>(5060.0/B68*100)</f>
        <v/>
      </c>
      <c r="D68" s="19" t="n">
        <v>989</v>
      </c>
      <c r="E68" s="18" t="n">
        <v>22.41030465</v>
      </c>
      <c r="F68" s="20" t="n">
        <v>1.33388251</v>
      </c>
      <c r="G68" s="18" t="n">
        <v>73.78462512</v>
      </c>
      <c r="H68" s="20" t="n">
        <v>1.30608769</v>
      </c>
      <c r="I68" s="18" t="s">
        <v>349</v>
      </c>
      <c r="J68" s="20" t="s">
        <v>349</v>
      </c>
      <c r="K68" s="18" t="n">
        <v>3.80507023</v>
      </c>
      <c r="L68" s="20" t="n">
        <v>0.55475776</v>
      </c>
      <c r="M68" s="18" t="n">
        <v>0</v>
      </c>
      <c r="N68" s="20" t="n">
        <v>0</v>
      </c>
      <c r="O68" s="18" t="n">
        <v>0</v>
      </c>
      <c r="P68" s="20" t="n">
        <v>0</v>
      </c>
      <c r="Q68" s="18" t="n">
        <v>0</v>
      </c>
      <c r="R68" s="20" t="n">
        <v>0</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(2560.0/B70*100)</f>
        <v/>
      </c>
      <c r="D70" s="19" t="n">
        <v>369</v>
      </c>
      <c r="E70" s="18" t="n">
        <v>7.70874879</v>
      </c>
      <c r="F70" s="20" t="n">
        <v>1.53576493</v>
      </c>
      <c r="G70" s="18" t="n">
        <v>91.86774364</v>
      </c>
      <c r="H70" s="20" t="n">
        <v>1.51112724</v>
      </c>
      <c r="I70" s="18" t="s">
        <v>349</v>
      </c>
      <c r="J70" s="20" t="s">
        <v>349</v>
      </c>
      <c r="K70" s="18" t="n">
        <v>0.42350757</v>
      </c>
      <c r="L70" s="20" t="n">
        <v>0.29983434</v>
      </c>
      <c r="M70" s="18" t="n">
        <v>0</v>
      </c>
      <c r="N70" s="20" t="n">
        <v>0</v>
      </c>
      <c r="O70" s="18" t="n">
        <v>0</v>
      </c>
      <c r="P70" s="20" t="n">
        <v>0</v>
      </c>
      <c r="Q70" s="18" t="n">
        <v>0</v>
      </c>
      <c r="R70" s="20" t="n">
        <v>0</v>
      </c>
    </row>
    <row r="71" spans="1:18">
      <c r="A71" s="15" t="s">
        <v>413</v>
      </c>
      <c r="B71" s="17" t="n">
        <v>3142</v>
      </c>
      <c r="C71" s="18">
        <f>(2746.0/B71*100)</f>
        <v/>
      </c>
      <c r="D71" s="19" t="n">
        <v>396</v>
      </c>
      <c r="E71" s="18" t="n">
        <v>7.38699093</v>
      </c>
      <c r="F71" s="20" t="n">
        <v>1.26191185</v>
      </c>
      <c r="G71" s="18" t="n">
        <v>92.31485023</v>
      </c>
      <c r="H71" s="20" t="n">
        <v>1.23754245</v>
      </c>
      <c r="I71" s="18" t="s">
        <v>349</v>
      </c>
      <c r="J71" s="20" t="s">
        <v>349</v>
      </c>
      <c r="K71" s="18" t="n">
        <v>0.29815884</v>
      </c>
      <c r="L71" s="20" t="n">
        <v>0.29773054</v>
      </c>
      <c r="M71" s="18" t="n">
        <v>0</v>
      </c>
      <c r="N71" s="20" t="n">
        <v>0</v>
      </c>
      <c r="O71" s="18" t="n">
        <v>0</v>
      </c>
      <c r="P71" s="20" t="n">
        <v>0</v>
      </c>
      <c r="Q71" s="18" t="n">
        <v>0</v>
      </c>
      <c r="R71" s="20" t="n">
        <v>0</v>
      </c>
    </row>
    <row r="72" spans="1:18">
      <c r="A72" s="15" t="s">
        <v>414</v>
      </c>
      <c r="B72" s="17" t="n">
        <v>3889</v>
      </c>
      <c r="C72" s="18">
        <f>(3400.0/B72*100)</f>
        <v/>
      </c>
      <c r="D72" s="19" t="n">
        <v>489</v>
      </c>
      <c r="E72" s="18" t="n">
        <v>4.11372715</v>
      </c>
      <c r="F72" s="20" t="n">
        <v>0.893873</v>
      </c>
      <c r="G72" s="18" t="n">
        <v>95.50265525</v>
      </c>
      <c r="H72" s="20" t="n">
        <v>0.91564576</v>
      </c>
      <c r="I72" s="18" t="s">
        <v>349</v>
      </c>
      <c r="J72" s="20" t="s">
        <v>349</v>
      </c>
      <c r="K72" s="18" t="n">
        <v>0.3836176</v>
      </c>
      <c r="L72" s="20" t="n">
        <v>0.316962</v>
      </c>
      <c r="M72" s="18" t="n">
        <v>0</v>
      </c>
      <c r="N72" s="20" t="n">
        <v>0</v>
      </c>
      <c r="O72" s="18" t="n">
        <v>0</v>
      </c>
      <c r="P72" s="20" t="n">
        <v>0</v>
      </c>
      <c r="Q72" s="18" t="n">
        <v>0</v>
      </c>
      <c r="R72" s="20" t="n">
        <v>0</v>
      </c>
    </row>
    <row r="73" spans="1:18">
      <c r="A73" s="15" t="s">
        <v>415</v>
      </c>
      <c r="B73" s="17" t="n">
        <v>3597</v>
      </c>
      <c r="C73" s="18">
        <f>(3175.0/B73*100)</f>
        <v/>
      </c>
      <c r="D73" s="19" t="n">
        <v>422</v>
      </c>
      <c r="E73" s="18" t="n">
        <v>10.58772412</v>
      </c>
      <c r="F73" s="20" t="n">
        <v>1.64541298</v>
      </c>
      <c r="G73" s="18" t="n">
        <v>89.0265813</v>
      </c>
      <c r="H73" s="20" t="n">
        <v>1.70287635</v>
      </c>
      <c r="I73" s="18" t="s">
        <v>349</v>
      </c>
      <c r="J73" s="20" t="s">
        <v>349</v>
      </c>
      <c r="K73" s="18" t="n">
        <v>0.38569458</v>
      </c>
      <c r="L73" s="20" t="n">
        <v>0.37160262</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(2149.0/B75*100)</f>
        <v/>
      </c>
      <c r="D75" s="19" t="n">
        <v>257</v>
      </c>
      <c r="E75" s="18" t="n">
        <v>0</v>
      </c>
      <c r="F75" s="20" t="n">
        <v>0</v>
      </c>
      <c r="G75" s="18" t="n">
        <v>0</v>
      </c>
      <c r="H75" s="20" t="n">
        <v>0</v>
      </c>
      <c r="I75" s="18" t="s">
        <v>349</v>
      </c>
      <c r="J75" s="20" t="s">
        <v>349</v>
      </c>
      <c r="K75" s="18" t="n">
        <v>0</v>
      </c>
      <c r="L75" s="20" t="n">
        <v>0</v>
      </c>
      <c r="M75" s="18" t="n">
        <v>100</v>
      </c>
      <c r="N75" s="20" t="n">
        <v>0</v>
      </c>
      <c r="O75" s="18" t="n">
        <v>0</v>
      </c>
      <c r="P75" s="20" t="n">
        <v>0</v>
      </c>
      <c r="Q75" s="18" t="n">
        <v>0</v>
      </c>
      <c r="R75" s="20" t="n">
        <v>0</v>
      </c>
    </row>
    <row r="76" spans="1:18">
      <c r="A76" s="15" t="s">
        <v>418</v>
      </c>
      <c r="B76" s="17" t="n">
        <v>7052</v>
      </c>
      <c r="C76" s="18">
        <f>(6203.0/B76*100)</f>
        <v/>
      </c>
      <c r="D76" s="19" t="n">
        <v>849</v>
      </c>
      <c r="E76" s="18" t="n">
        <v>18.13225674</v>
      </c>
      <c r="F76" s="20" t="n">
        <v>1.41350902</v>
      </c>
      <c r="G76" s="18" t="n">
        <v>79.35551485000001</v>
      </c>
      <c r="H76" s="20" t="n">
        <v>1.53176637</v>
      </c>
      <c r="I76" s="18" t="s">
        <v>349</v>
      </c>
      <c r="J76" s="20" t="s">
        <v>349</v>
      </c>
      <c r="K76" s="18" t="n">
        <v>2.51222841</v>
      </c>
      <c r="L76" s="20" t="n">
        <v>0.84477541</v>
      </c>
      <c r="M76" s="18" t="n">
        <v>0</v>
      </c>
      <c r="N76" s="20" t="n">
        <v>0</v>
      </c>
      <c r="O76" s="18" t="n">
        <v>0</v>
      </c>
      <c r="P76" s="20" t="n">
        <v>0</v>
      </c>
      <c r="Q76" s="18" t="n">
        <v>0</v>
      </c>
      <c r="R76" s="20" t="n">
        <v>0</v>
      </c>
    </row>
    <row r="77" spans="1:18">
      <c r="A77" s="15" t="s">
        <v>419</v>
      </c>
      <c r="B77" s="17" t="n">
        <v>2908</v>
      </c>
      <c r="C77" s="18">
        <f>(2568.0/B77*100)</f>
        <v/>
      </c>
      <c r="D77" s="19" t="n">
        <v>340</v>
      </c>
      <c r="E77" s="18" t="n">
        <v>19.94474587</v>
      </c>
      <c r="F77" s="20" t="n">
        <v>2.43896854</v>
      </c>
      <c r="G77" s="18" t="n">
        <v>77.22159259999999</v>
      </c>
      <c r="H77" s="20" t="n">
        <v>2.48150352</v>
      </c>
      <c r="I77" s="18" t="s">
        <v>349</v>
      </c>
      <c r="J77" s="20" t="s">
        <v>349</v>
      </c>
      <c r="K77" s="18" t="n">
        <v>2.83366153</v>
      </c>
      <c r="L77" s="20" t="n">
        <v>1.04377223</v>
      </c>
      <c r="M77" s="18" t="n">
        <v>0</v>
      </c>
      <c r="N77" s="20" t="n">
        <v>0</v>
      </c>
      <c r="O77" s="18" t="n">
        <v>0</v>
      </c>
      <c r="P77" s="20" t="n">
        <v>0</v>
      </c>
      <c r="Q77" s="18" t="n">
        <v>0</v>
      </c>
      <c r="R77" s="20" t="n">
        <v>0</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(3643.0/B81*100)</f>
        <v/>
      </c>
      <c r="D81" s="19" t="n">
        <v>520</v>
      </c>
      <c r="E81" s="18" t="n">
        <v>13.04572242</v>
      </c>
      <c r="F81" s="20" t="n">
        <v>1.81072721</v>
      </c>
      <c r="G81" s="18" t="n">
        <v>86.95427758</v>
      </c>
      <c r="H81" s="20" t="n">
        <v>1.81072721</v>
      </c>
      <c r="I81" s="18" t="s">
        <v>349</v>
      </c>
      <c r="J81" s="20" t="s">
        <v>349</v>
      </c>
      <c r="K81" s="18" t="n">
        <v>0</v>
      </c>
      <c r="L81" s="20" t="n">
        <v>0</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(6483.0/B7*100)</f>
        <v/>
      </c>
      <c r="D7" s="19" t="n">
        <v>884</v>
      </c>
      <c r="E7" s="18" t="n">
        <v>13.74469383</v>
      </c>
      <c r="F7" s="20" t="n">
        <v>1.37131136</v>
      </c>
      <c r="G7" s="18" t="n">
        <v>82.59399962000001</v>
      </c>
      <c r="H7" s="20" t="n">
        <v>1.49781027</v>
      </c>
      <c r="I7" s="18" t="s">
        <v>349</v>
      </c>
      <c r="J7" s="20" t="s">
        <v>349</v>
      </c>
      <c r="K7" s="18" t="n">
        <v>0.47892278</v>
      </c>
      <c r="L7" s="20" t="n">
        <v>0.29564665</v>
      </c>
      <c r="M7" s="18" t="n">
        <v>0</v>
      </c>
      <c r="N7" s="20" t="n">
        <v>0</v>
      </c>
      <c r="O7" s="18" t="n">
        <v>0</v>
      </c>
      <c r="P7" s="20" t="n">
        <v>0</v>
      </c>
      <c r="Q7" s="18" t="n">
        <v>3.18238377</v>
      </c>
      <c r="R7" s="20" t="n">
        <v>0.77952772</v>
      </c>
    </row>
    <row r="8" spans="1:18">
      <c r="A8" s="15" t="s">
        <v>350</v>
      </c>
      <c r="B8" s="17" t="n">
        <v>3564</v>
      </c>
      <c r="C8" s="18">
        <f>(3099.0/B8*100)</f>
        <v/>
      </c>
      <c r="D8" s="19" t="n">
        <v>465</v>
      </c>
      <c r="E8" s="18" t="n">
        <v>12.29808949</v>
      </c>
      <c r="F8" s="20" t="n">
        <v>1.66668049</v>
      </c>
      <c r="G8" s="18" t="n">
        <v>87.12992801</v>
      </c>
      <c r="H8" s="20" t="n">
        <v>1.63926844</v>
      </c>
      <c r="I8" s="18" t="s">
        <v>349</v>
      </c>
      <c r="J8" s="20" t="s">
        <v>349</v>
      </c>
      <c r="K8" s="18" t="n">
        <v>0</v>
      </c>
      <c r="L8" s="20" t="n">
        <v>0</v>
      </c>
      <c r="M8" s="18" t="n">
        <v>0</v>
      </c>
      <c r="N8" s="20" t="n">
        <v>0</v>
      </c>
      <c r="O8" s="18" t="n">
        <v>0</v>
      </c>
      <c r="P8" s="20" t="n">
        <v>0</v>
      </c>
      <c r="Q8" s="18" t="n">
        <v>0.5719824999999999</v>
      </c>
      <c r="R8" s="20" t="n">
        <v>0.39095197</v>
      </c>
    </row>
    <row r="9" spans="1:18">
      <c r="A9" s="15" t="s">
        <v>351</v>
      </c>
      <c r="B9" s="17" t="n">
        <v>4899</v>
      </c>
      <c r="C9" s="18">
        <f>(4315.0/B9*100)</f>
        <v/>
      </c>
      <c r="D9" s="19" t="n">
        <v>584</v>
      </c>
      <c r="E9" s="18" t="n">
        <v>9.367781709999999</v>
      </c>
      <c r="F9" s="20" t="n">
        <v>1.45739832</v>
      </c>
      <c r="G9" s="18" t="n">
        <v>90.27473535</v>
      </c>
      <c r="H9" s="20" t="n">
        <v>1.48244143</v>
      </c>
      <c r="I9" s="18" t="s">
        <v>349</v>
      </c>
      <c r="J9" s="20" t="s">
        <v>349</v>
      </c>
      <c r="K9" s="18" t="n">
        <v>0</v>
      </c>
      <c r="L9" s="20" t="n">
        <v>0</v>
      </c>
      <c r="M9" s="18" t="n">
        <v>0</v>
      </c>
      <c r="N9" s="20" t="n">
        <v>0</v>
      </c>
      <c r="O9" s="18" t="n">
        <v>0</v>
      </c>
      <c r="P9" s="20" t="n">
        <v>0</v>
      </c>
      <c r="Q9" s="18" t="n">
        <v>0.35748293</v>
      </c>
      <c r="R9" s="20" t="n">
        <v>0.25198626</v>
      </c>
    </row>
    <row r="10" spans="1:18">
      <c r="A10" s="15" t="s">
        <v>352</v>
      </c>
      <c r="B10" s="17" t="n">
        <v>10036</v>
      </c>
      <c r="C10" s="18">
        <f>(8808.0/B10*100)</f>
        <v/>
      </c>
      <c r="D10" s="19" t="n">
        <v>1228</v>
      </c>
      <c r="E10" s="18" t="n">
        <v>15.39241955</v>
      </c>
      <c r="F10" s="20" t="n">
        <v>1.55393827</v>
      </c>
      <c r="G10" s="18" t="n">
        <v>83.4352205</v>
      </c>
      <c r="H10" s="20" t="n">
        <v>1.58406806</v>
      </c>
      <c r="I10" s="18" t="s">
        <v>349</v>
      </c>
      <c r="J10" s="20" t="s">
        <v>349</v>
      </c>
      <c r="K10" s="18" t="n">
        <v>0.17245502</v>
      </c>
      <c r="L10" s="20" t="n">
        <v>0.1068341</v>
      </c>
      <c r="M10" s="18" t="n">
        <v>0</v>
      </c>
      <c r="N10" s="20" t="n">
        <v>0</v>
      </c>
      <c r="O10" s="18" t="n">
        <v>0</v>
      </c>
      <c r="P10" s="20" t="n">
        <v>0</v>
      </c>
      <c r="Q10" s="18" t="n">
        <v>0.99990493</v>
      </c>
      <c r="R10" s="20" t="n">
        <v>0.38726938</v>
      </c>
    </row>
    <row r="11" spans="1:18">
      <c r="A11" s="15" t="s">
        <v>353</v>
      </c>
      <c r="B11" s="17" t="n">
        <v>3553</v>
      </c>
      <c r="C11" s="18">
        <f>(3104.0/B11*100)</f>
        <v/>
      </c>
      <c r="D11" s="19" t="n">
        <v>449</v>
      </c>
      <c r="E11" s="18" t="n">
        <v>25.65657426</v>
      </c>
      <c r="F11" s="20" t="n">
        <v>2.59894189</v>
      </c>
      <c r="G11" s="18" t="n">
        <v>72.51731316999999</v>
      </c>
      <c r="H11" s="20" t="n">
        <v>2.50230836</v>
      </c>
      <c r="I11" s="18" t="s">
        <v>349</v>
      </c>
      <c r="J11" s="20" t="s">
        <v>349</v>
      </c>
      <c r="K11" s="18" t="n">
        <v>0</v>
      </c>
      <c r="L11" s="20" t="n">
        <v>0</v>
      </c>
      <c r="M11" s="18" t="n">
        <v>0</v>
      </c>
      <c r="N11" s="20" t="n">
        <v>0</v>
      </c>
      <c r="O11" s="18" t="n">
        <v>0</v>
      </c>
      <c r="P11" s="20" t="n">
        <v>0</v>
      </c>
      <c r="Q11" s="18" t="n">
        <v>1.82611257</v>
      </c>
      <c r="R11" s="20" t="n">
        <v>0.7597234899999999</v>
      </c>
    </row>
    <row r="12" spans="1:18">
      <c r="A12" s="15" t="s">
        <v>354</v>
      </c>
      <c r="B12" s="17" t="n">
        <v>3472</v>
      </c>
      <c r="C12" s="18">
        <f>(3044.0/B12*100)</f>
        <v/>
      </c>
      <c r="D12" s="19" t="n">
        <v>428</v>
      </c>
      <c r="E12" s="18" t="n">
        <v>11.38304291</v>
      </c>
      <c r="F12" s="20" t="n">
        <v>1.59578782</v>
      </c>
      <c r="G12" s="18" t="n">
        <v>87.90155369</v>
      </c>
      <c r="H12" s="20" t="n">
        <v>1.71760851</v>
      </c>
      <c r="I12" s="18" t="s">
        <v>349</v>
      </c>
      <c r="J12" s="20" t="s">
        <v>349</v>
      </c>
      <c r="K12" s="18" t="n">
        <v>0.32206778</v>
      </c>
      <c r="L12" s="20" t="n">
        <v>0.52541808</v>
      </c>
      <c r="M12" s="18" t="n">
        <v>0</v>
      </c>
      <c r="N12" s="20" t="n">
        <v>0</v>
      </c>
      <c r="O12" s="18" t="n">
        <v>0</v>
      </c>
      <c r="P12" s="20" t="n">
        <v>0</v>
      </c>
      <c r="Q12" s="18" t="n">
        <v>0.39333562</v>
      </c>
      <c r="R12" s="20" t="n">
        <v>0.29599828</v>
      </c>
    </row>
    <row r="13" spans="1:18">
      <c r="A13" s="15" t="s">
        <v>355</v>
      </c>
      <c r="B13" s="17" t="n">
        <v>3559</v>
      </c>
      <c r="C13" s="18">
        <f>(3126.0/B13*100)</f>
        <v/>
      </c>
      <c r="D13" s="19" t="n">
        <v>433</v>
      </c>
      <c r="E13" s="18" t="n">
        <v>6.33955387</v>
      </c>
      <c r="F13" s="20" t="n">
        <v>1.21776111</v>
      </c>
      <c r="G13" s="18" t="n">
        <v>93.10933265</v>
      </c>
      <c r="H13" s="20" t="n">
        <v>1.22637962</v>
      </c>
      <c r="I13" s="18" t="s">
        <v>349</v>
      </c>
      <c r="J13" s="20" t="s">
        <v>349</v>
      </c>
      <c r="K13" s="18" t="n">
        <v>0.28287454</v>
      </c>
      <c r="L13" s="20" t="n">
        <v>0.25201213</v>
      </c>
      <c r="M13" s="18" t="n">
        <v>0</v>
      </c>
      <c r="N13" s="20" t="n">
        <v>0</v>
      </c>
      <c r="O13" s="18" t="n">
        <v>0</v>
      </c>
      <c r="P13" s="20" t="n">
        <v>0</v>
      </c>
      <c r="Q13" s="18" t="n">
        <v>0.26823894</v>
      </c>
      <c r="R13" s="20" t="n">
        <v>0.18376602</v>
      </c>
    </row>
    <row r="14" spans="1:18">
      <c r="A14" s="15" t="s">
        <v>356</v>
      </c>
      <c r="B14" s="17" t="n">
        <v>2799</v>
      </c>
      <c r="C14" s="18">
        <f>(2468.0/B14*100)</f>
        <v/>
      </c>
      <c r="D14" s="19" t="n">
        <v>331</v>
      </c>
      <c r="E14" s="18" t="n">
        <v>6.99671184</v>
      </c>
      <c r="F14" s="20" t="n">
        <v>1.41863587</v>
      </c>
      <c r="G14" s="18" t="n">
        <v>92.79160895</v>
      </c>
      <c r="H14" s="20" t="n">
        <v>1.43701292</v>
      </c>
      <c r="I14" s="18" t="s">
        <v>349</v>
      </c>
      <c r="J14" s="20" t="s">
        <v>349</v>
      </c>
      <c r="K14" s="18" t="n">
        <v>0</v>
      </c>
      <c r="L14" s="20" t="n">
        <v>0</v>
      </c>
      <c r="M14" s="18" t="n">
        <v>0</v>
      </c>
      <c r="N14" s="20" t="n">
        <v>0</v>
      </c>
      <c r="O14" s="18" t="n">
        <v>0</v>
      </c>
      <c r="P14" s="20" t="n">
        <v>0</v>
      </c>
      <c r="Q14" s="18" t="n">
        <v>0.21167921</v>
      </c>
      <c r="R14" s="20" t="n">
        <v>0.21203706</v>
      </c>
    </row>
    <row r="15" spans="1:18">
      <c r="A15" s="15" t="s">
        <v>357</v>
      </c>
      <c r="B15" s="17" t="n">
        <v>3019</v>
      </c>
      <c r="C15" s="18">
        <f>(2644.0/B15*100)</f>
        <v/>
      </c>
      <c r="D15" s="19" t="n">
        <v>375</v>
      </c>
      <c r="E15" s="18" t="n">
        <v>9.6482834</v>
      </c>
      <c r="F15" s="20" t="n">
        <v>1.59426069</v>
      </c>
      <c r="G15" s="18" t="n">
        <v>89.35995265</v>
      </c>
      <c r="H15" s="20" t="n">
        <v>1.5802149</v>
      </c>
      <c r="I15" s="18" t="s">
        <v>349</v>
      </c>
      <c r="J15" s="20" t="s">
        <v>349</v>
      </c>
      <c r="K15" s="18" t="n">
        <v>0</v>
      </c>
      <c r="L15" s="20" t="n">
        <v>0</v>
      </c>
      <c r="M15" s="18" t="n">
        <v>0</v>
      </c>
      <c r="N15" s="20" t="n">
        <v>0</v>
      </c>
      <c r="O15" s="18" t="n">
        <v>0</v>
      </c>
      <c r="P15" s="20" t="n">
        <v>0</v>
      </c>
      <c r="Q15" s="18" t="n">
        <v>0.9917639499999999</v>
      </c>
      <c r="R15" s="20" t="n">
        <v>0.43270247</v>
      </c>
    </row>
    <row r="16" spans="1:18">
      <c r="A16" s="15" t="s">
        <v>358</v>
      </c>
      <c r="B16" s="17" t="n">
        <v>2997</v>
      </c>
      <c r="C16" s="18">
        <f>(2619.0/B16*100)</f>
        <v/>
      </c>
      <c r="D16" s="19" t="n">
        <v>378</v>
      </c>
      <c r="E16" s="18" t="n">
        <v>12.08627278</v>
      </c>
      <c r="F16" s="20" t="n">
        <v>1.58795757</v>
      </c>
      <c r="G16" s="18" t="n">
        <v>87.113687</v>
      </c>
      <c r="H16" s="20" t="n">
        <v>1.68433687</v>
      </c>
      <c r="I16" s="18" t="s">
        <v>349</v>
      </c>
      <c r="J16" s="20" t="s">
        <v>349</v>
      </c>
      <c r="K16" s="18" t="n">
        <v>0.27855467</v>
      </c>
      <c r="L16" s="20" t="n">
        <v>0.28015435</v>
      </c>
      <c r="M16" s="18" t="n">
        <v>0</v>
      </c>
      <c r="N16" s="20" t="n">
        <v>0</v>
      </c>
      <c r="O16" s="18" t="n">
        <v>0</v>
      </c>
      <c r="P16" s="20" t="n">
        <v>0</v>
      </c>
      <c r="Q16" s="18" t="n">
        <v>0.52148554</v>
      </c>
      <c r="R16" s="20" t="n">
        <v>0.35471625</v>
      </c>
    </row>
    <row r="17" spans="1:18">
      <c r="A17" s="15" t="s">
        <v>359</v>
      </c>
      <c r="B17" s="17" t="n">
        <v>3307</v>
      </c>
      <c r="C17" s="18">
        <f>(2884.0/B17*100)</f>
        <v/>
      </c>
      <c r="D17" s="19" t="n">
        <v>423</v>
      </c>
      <c r="E17" s="18" t="n">
        <v>10.91179823</v>
      </c>
      <c r="F17" s="20" t="n">
        <v>1.30434111</v>
      </c>
      <c r="G17" s="18" t="n">
        <v>87.67915232</v>
      </c>
      <c r="H17" s="20" t="n">
        <v>1.32862572</v>
      </c>
      <c r="I17" s="18" t="s">
        <v>349</v>
      </c>
      <c r="J17" s="20" t="s">
        <v>349</v>
      </c>
      <c r="K17" s="18" t="n">
        <v>0</v>
      </c>
      <c r="L17" s="20" t="n">
        <v>0</v>
      </c>
      <c r="M17" s="18" t="n">
        <v>0</v>
      </c>
      <c r="N17" s="20" t="n">
        <v>0</v>
      </c>
      <c r="O17" s="18" t="n">
        <v>0</v>
      </c>
      <c r="P17" s="20" t="n">
        <v>0</v>
      </c>
      <c r="Q17" s="18" t="n">
        <v>1.40904944</v>
      </c>
      <c r="R17" s="20" t="n">
        <v>0.81527817</v>
      </c>
    </row>
    <row r="18" spans="1:18">
      <c r="A18" s="15" t="s">
        <v>360</v>
      </c>
      <c r="B18" s="17" t="n">
        <v>2826</v>
      </c>
      <c r="C18" s="18">
        <f>(2480.0/B18*100)</f>
        <v/>
      </c>
      <c r="D18" s="19" t="n">
        <v>346</v>
      </c>
      <c r="E18" s="18" t="n">
        <v>22.54169339</v>
      </c>
      <c r="F18" s="20" t="n">
        <v>2.76302921</v>
      </c>
      <c r="G18" s="18" t="n">
        <v>75.37754126</v>
      </c>
      <c r="H18" s="20" t="n">
        <v>2.8110869</v>
      </c>
      <c r="I18" s="18" t="s">
        <v>349</v>
      </c>
      <c r="J18" s="20" t="s">
        <v>349</v>
      </c>
      <c r="K18" s="18" t="n">
        <v>0</v>
      </c>
      <c r="L18" s="20" t="n">
        <v>0</v>
      </c>
      <c r="M18" s="18" t="n">
        <v>0</v>
      </c>
      <c r="N18" s="20" t="n">
        <v>0</v>
      </c>
      <c r="O18" s="18" t="n">
        <v>0</v>
      </c>
      <c r="P18" s="20" t="n">
        <v>0</v>
      </c>
      <c r="Q18" s="18" t="n">
        <v>2.08076535</v>
      </c>
      <c r="R18" s="20" t="n">
        <v>0.97022302</v>
      </c>
    </row>
    <row r="19" spans="1:18">
      <c r="A19" s="15" t="s">
        <v>361</v>
      </c>
      <c r="B19" s="17" t="n">
        <v>2808</v>
      </c>
      <c r="C19" s="18">
        <f>(2465.0/B19*100)</f>
        <v/>
      </c>
      <c r="D19" s="19" t="n">
        <v>343</v>
      </c>
      <c r="E19" s="18" t="n">
        <v>14.2769362</v>
      </c>
      <c r="F19" s="20" t="n">
        <v>2.21637575</v>
      </c>
      <c r="G19" s="18" t="n">
        <v>83.89082496</v>
      </c>
      <c r="H19" s="20" t="n">
        <v>2.1353395</v>
      </c>
      <c r="I19" s="18" t="s">
        <v>349</v>
      </c>
      <c r="J19" s="20" t="s">
        <v>349</v>
      </c>
      <c r="K19" s="18" t="n">
        <v>0.2284485</v>
      </c>
      <c r="L19" s="20" t="n">
        <v>0.23233554</v>
      </c>
      <c r="M19" s="18" t="n">
        <v>0</v>
      </c>
      <c r="N19" s="20" t="n">
        <v>0</v>
      </c>
      <c r="O19" s="18" t="n">
        <v>0</v>
      </c>
      <c r="P19" s="20" t="n">
        <v>0</v>
      </c>
      <c r="Q19" s="18" t="n">
        <v>1.60379034</v>
      </c>
      <c r="R19" s="20" t="n">
        <v>0.82672622</v>
      </c>
    </row>
    <row r="20" spans="1:18">
      <c r="A20" s="15" t="s">
        <v>362</v>
      </c>
      <c r="B20" s="17" t="n">
        <v>1630</v>
      </c>
      <c r="C20" s="18">
        <f>(1422.0/B20*100)</f>
        <v/>
      </c>
      <c r="D20" s="19" t="n">
        <v>208</v>
      </c>
      <c r="E20" s="18" t="n">
        <v>19.91509593</v>
      </c>
      <c r="F20" s="20" t="n">
        <v>2.76599167</v>
      </c>
      <c r="G20" s="18" t="n">
        <v>77.02266246000001</v>
      </c>
      <c r="H20" s="20" t="n">
        <v>2.91302374</v>
      </c>
      <c r="I20" s="18" t="s">
        <v>349</v>
      </c>
      <c r="J20" s="20" t="s">
        <v>349</v>
      </c>
      <c r="K20" s="18" t="n">
        <v>0.45523218</v>
      </c>
      <c r="L20" s="20" t="n">
        <v>0.45702255</v>
      </c>
      <c r="M20" s="18" t="n">
        <v>0</v>
      </c>
      <c r="N20" s="20" t="n">
        <v>0</v>
      </c>
      <c r="O20" s="18" t="n">
        <v>0</v>
      </c>
      <c r="P20" s="20" t="n">
        <v>0</v>
      </c>
      <c r="Q20" s="18" t="n">
        <v>2.60700943</v>
      </c>
      <c r="R20" s="20" t="n">
        <v>1.0727925</v>
      </c>
    </row>
    <row r="21" spans="1:18">
      <c r="A21" s="15" t="s">
        <v>363</v>
      </c>
      <c r="B21" s="17" t="n">
        <v>2908</v>
      </c>
      <c r="C21" s="18">
        <f>(2407.0/B21*100)</f>
        <v/>
      </c>
      <c r="D21" s="19" t="n">
        <v>501</v>
      </c>
      <c r="E21" s="18" t="n">
        <v>8.79988137</v>
      </c>
      <c r="F21" s="20" t="n">
        <v>1.21658353</v>
      </c>
      <c r="G21" s="18" t="n">
        <v>90.66426846</v>
      </c>
      <c r="H21" s="20" t="n">
        <v>1.21396631</v>
      </c>
      <c r="I21" s="18" t="s">
        <v>349</v>
      </c>
      <c r="J21" s="20" t="s">
        <v>349</v>
      </c>
      <c r="K21" s="18" t="n">
        <v>0.18674777</v>
      </c>
      <c r="L21" s="20" t="n">
        <v>0.1871901</v>
      </c>
      <c r="M21" s="18" t="n">
        <v>0</v>
      </c>
      <c r="N21" s="20" t="n">
        <v>0</v>
      </c>
      <c r="O21" s="18" t="n">
        <v>0</v>
      </c>
      <c r="P21" s="20" t="n">
        <v>0</v>
      </c>
      <c r="Q21" s="18" t="n">
        <v>0.3491024</v>
      </c>
      <c r="R21" s="20" t="n">
        <v>0.30932246</v>
      </c>
    </row>
    <row r="22" spans="1:18">
      <c r="A22" s="15" t="s">
        <v>364</v>
      </c>
      <c r="B22" s="17" t="n">
        <v>2931</v>
      </c>
      <c r="C22" s="18">
        <f>(2560.0/B22*100)</f>
        <v/>
      </c>
      <c r="D22" s="19" t="n">
        <v>371</v>
      </c>
      <c r="E22" s="18" t="n">
        <v>15.78342608</v>
      </c>
      <c r="F22" s="20" t="n">
        <v>1.95611361</v>
      </c>
      <c r="G22" s="18" t="n">
        <v>79.69186818999999</v>
      </c>
      <c r="H22" s="20" t="n">
        <v>2.31808831</v>
      </c>
      <c r="I22" s="18" t="s">
        <v>349</v>
      </c>
      <c r="J22" s="20" t="s">
        <v>349</v>
      </c>
      <c r="K22" s="18" t="n">
        <v>1.2022343</v>
      </c>
      <c r="L22" s="20" t="n">
        <v>0.6983085</v>
      </c>
      <c r="M22" s="18" t="n">
        <v>0</v>
      </c>
      <c r="N22" s="20" t="n">
        <v>0</v>
      </c>
      <c r="O22" s="18" t="n">
        <v>0</v>
      </c>
      <c r="P22" s="20" t="n">
        <v>0</v>
      </c>
      <c r="Q22" s="18" t="n">
        <v>3.32247144</v>
      </c>
      <c r="R22" s="20" t="n">
        <v>1.35518752</v>
      </c>
    </row>
    <row r="23" spans="1:18">
      <c r="A23" s="15" t="s">
        <v>365</v>
      </c>
      <c r="B23" s="17" t="n">
        <v>5791</v>
      </c>
      <c r="C23" s="18">
        <f>(5089.0/B23*100)</f>
        <v/>
      </c>
      <c r="D23" s="19" t="n">
        <v>702</v>
      </c>
      <c r="E23" s="18" t="n">
        <v>12.74250134</v>
      </c>
      <c r="F23" s="20" t="n">
        <v>1.87095695</v>
      </c>
      <c r="G23" s="18" t="n">
        <v>85.45570445</v>
      </c>
      <c r="H23" s="20" t="n">
        <v>1.96901176</v>
      </c>
      <c r="I23" s="18" t="s">
        <v>349</v>
      </c>
      <c r="J23" s="20" t="s">
        <v>349</v>
      </c>
      <c r="K23" s="18" t="n">
        <v>0.31115471</v>
      </c>
      <c r="L23" s="20" t="n">
        <v>0.30521102</v>
      </c>
      <c r="M23" s="18" t="n">
        <v>0</v>
      </c>
      <c r="N23" s="20" t="n">
        <v>0</v>
      </c>
      <c r="O23" s="18" t="n">
        <v>0</v>
      </c>
      <c r="P23" s="20" t="n">
        <v>0</v>
      </c>
      <c r="Q23" s="18" t="n">
        <v>1.49063951</v>
      </c>
      <c r="R23" s="20" t="n">
        <v>0.72414314</v>
      </c>
    </row>
    <row r="24" spans="1:18">
      <c r="A24" s="15" t="s">
        <v>366</v>
      </c>
      <c r="B24" s="17" t="n">
        <v>3338</v>
      </c>
      <c r="C24" s="18">
        <f>(2939.0/B24*100)</f>
        <v/>
      </c>
      <c r="D24" s="19" t="n">
        <v>399</v>
      </c>
      <c r="E24" s="18" t="n">
        <v>18.81689695</v>
      </c>
      <c r="F24" s="20" t="n">
        <v>1.93015387</v>
      </c>
      <c r="G24" s="18" t="n">
        <v>80.95180797</v>
      </c>
      <c r="H24" s="20" t="n">
        <v>1.90870798</v>
      </c>
      <c r="I24" s="18" t="s">
        <v>349</v>
      </c>
      <c r="J24" s="20" t="s">
        <v>349</v>
      </c>
      <c r="K24" s="18" t="n">
        <v>0.23129508</v>
      </c>
      <c r="L24" s="20" t="n">
        <v>0.23302619</v>
      </c>
      <c r="M24" s="18" t="n">
        <v>0</v>
      </c>
      <c r="N24" s="20" t="n">
        <v>0</v>
      </c>
      <c r="O24" s="18" t="n">
        <v>0</v>
      </c>
      <c r="P24" s="20" t="n">
        <v>0</v>
      </c>
      <c r="Q24" s="18" t="n">
        <v>0</v>
      </c>
      <c r="R24" s="20" t="n">
        <v>0</v>
      </c>
    </row>
    <row r="25" spans="1:18">
      <c r="A25" s="15" t="s">
        <v>367</v>
      </c>
      <c r="B25" s="17" t="n">
        <v>2912</v>
      </c>
      <c r="C25" s="18">
        <f>(2558.0/B25*100)</f>
        <v/>
      </c>
      <c r="D25" s="19" t="n">
        <v>354</v>
      </c>
      <c r="E25" s="18" t="n">
        <v>19.32858244</v>
      </c>
      <c r="F25" s="20" t="n">
        <v>1.91344387</v>
      </c>
      <c r="G25" s="18" t="n">
        <v>80.13141754</v>
      </c>
      <c r="H25" s="20" t="n">
        <v>2.00890096</v>
      </c>
      <c r="I25" s="18" t="s">
        <v>349</v>
      </c>
      <c r="J25" s="20" t="s">
        <v>349</v>
      </c>
      <c r="K25" s="18" t="n">
        <v>0.29122747</v>
      </c>
      <c r="L25" s="20" t="n">
        <v>0.29417428</v>
      </c>
      <c r="M25" s="18" t="n">
        <v>0</v>
      </c>
      <c r="N25" s="20" t="n">
        <v>0</v>
      </c>
      <c r="O25" s="18" t="n">
        <v>0</v>
      </c>
      <c r="P25" s="20" t="n">
        <v>0</v>
      </c>
      <c r="Q25" s="18" t="n">
        <v>0.24877255</v>
      </c>
      <c r="R25" s="20" t="n">
        <v>0.24965844</v>
      </c>
    </row>
    <row r="26" spans="1:18">
      <c r="A26" s="15" t="s">
        <v>368</v>
      </c>
      <c r="B26" s="17" t="n">
        <v>2450</v>
      </c>
      <c r="C26" s="18">
        <f>(2151.0/B26*100)</f>
        <v/>
      </c>
      <c r="D26" s="19" t="n">
        <v>299</v>
      </c>
      <c r="E26" s="18" t="n">
        <v>12.99634833</v>
      </c>
      <c r="F26" s="20" t="n">
        <v>2.34077872</v>
      </c>
      <c r="G26" s="18" t="n">
        <v>86.07659282</v>
      </c>
      <c r="H26" s="20" t="n">
        <v>2.47809599</v>
      </c>
      <c r="I26" s="18" t="s">
        <v>349</v>
      </c>
      <c r="J26" s="20" t="s">
        <v>349</v>
      </c>
      <c r="K26" s="18" t="n">
        <v>0</v>
      </c>
      <c r="L26" s="20" t="n">
        <v>0</v>
      </c>
      <c r="M26" s="18" t="n">
        <v>0</v>
      </c>
      <c r="N26" s="20" t="n">
        <v>0</v>
      </c>
      <c r="O26" s="18" t="n">
        <v>0</v>
      </c>
      <c r="P26" s="20" t="n">
        <v>0</v>
      </c>
      <c r="Q26" s="18" t="n">
        <v>0.92705885</v>
      </c>
      <c r="R26" s="20" t="n">
        <v>0.5421911</v>
      </c>
    </row>
    <row r="27" spans="1:18">
      <c r="A27" s="15" t="s">
        <v>369</v>
      </c>
      <c r="B27" s="17" t="n">
        <v>2616</v>
      </c>
      <c r="C27" s="18">
        <f>(2296.0/B27*100)</f>
        <v/>
      </c>
      <c r="D27" s="19" t="n">
        <v>320</v>
      </c>
      <c r="E27" s="18" t="n">
        <v>17.36442252</v>
      </c>
      <c r="F27" s="20" t="n">
        <v>2.32774474</v>
      </c>
      <c r="G27" s="18" t="n">
        <v>81.39334232</v>
      </c>
      <c r="H27" s="20" t="n">
        <v>2.39526252</v>
      </c>
      <c r="I27" s="18" t="s">
        <v>349</v>
      </c>
      <c r="J27" s="20" t="s">
        <v>349</v>
      </c>
      <c r="K27" s="18" t="n">
        <v>0</v>
      </c>
      <c r="L27" s="20" t="n">
        <v>0</v>
      </c>
      <c r="M27" s="18" t="n">
        <v>0</v>
      </c>
      <c r="N27" s="20" t="n">
        <v>0</v>
      </c>
      <c r="O27" s="18" t="n">
        <v>0</v>
      </c>
      <c r="P27" s="20" t="n">
        <v>0</v>
      </c>
      <c r="Q27" s="18" t="n">
        <v>1.24223516</v>
      </c>
      <c r="R27" s="20" t="n">
        <v>0.62221882</v>
      </c>
    </row>
    <row r="28" spans="1:18">
      <c r="A28" s="15" t="s">
        <v>370</v>
      </c>
      <c r="B28" s="17" t="n">
        <v>3765</v>
      </c>
      <c r="C28" s="18">
        <f>(3273.0/B28*100)</f>
        <v/>
      </c>
      <c r="D28" s="19" t="n">
        <v>492</v>
      </c>
      <c r="E28" s="18" t="n">
        <v>24.05753142</v>
      </c>
      <c r="F28" s="20" t="n">
        <v>2.13515975</v>
      </c>
      <c r="G28" s="18" t="n">
        <v>75.01859233</v>
      </c>
      <c r="H28" s="20" t="n">
        <v>2.19860933</v>
      </c>
      <c r="I28" s="18" t="s">
        <v>349</v>
      </c>
      <c r="J28" s="20" t="s">
        <v>349</v>
      </c>
      <c r="K28" s="18" t="n">
        <v>0.14928985</v>
      </c>
      <c r="L28" s="20" t="n">
        <v>0.15074677</v>
      </c>
      <c r="M28" s="18" t="n">
        <v>0</v>
      </c>
      <c r="N28" s="20" t="n">
        <v>0</v>
      </c>
      <c r="O28" s="18" t="n">
        <v>0</v>
      </c>
      <c r="P28" s="20" t="n">
        <v>0</v>
      </c>
      <c r="Q28" s="18" t="n">
        <v>0.7745864</v>
      </c>
      <c r="R28" s="20" t="n">
        <v>0.41759268</v>
      </c>
    </row>
    <row r="29" spans="1:18">
      <c r="A29" s="15" t="s">
        <v>371</v>
      </c>
      <c r="B29" s="17" t="n">
        <v>2685</v>
      </c>
      <c r="C29" s="18">
        <f>(2405.0/B29*100)</f>
        <v/>
      </c>
      <c r="D29" s="19" t="n">
        <v>280</v>
      </c>
      <c r="E29" s="18" t="n">
        <v>14.51145563</v>
      </c>
      <c r="F29" s="20" t="n">
        <v>2.50593488</v>
      </c>
      <c r="G29" s="18" t="n">
        <v>84.99642258999999</v>
      </c>
      <c r="H29" s="20" t="n">
        <v>2.5308993</v>
      </c>
      <c r="I29" s="18" t="s">
        <v>349</v>
      </c>
      <c r="J29" s="20" t="s">
        <v>349</v>
      </c>
      <c r="K29" s="18" t="n">
        <v>0</v>
      </c>
      <c r="L29" s="20" t="n">
        <v>0</v>
      </c>
      <c r="M29" s="18" t="n">
        <v>0</v>
      </c>
      <c r="N29" s="20" t="n">
        <v>0</v>
      </c>
      <c r="O29" s="18" t="n">
        <v>0</v>
      </c>
      <c r="P29" s="20" t="n">
        <v>0</v>
      </c>
      <c r="Q29" s="18" t="n">
        <v>0.49212177</v>
      </c>
      <c r="R29" s="20" t="n">
        <v>0.39503047</v>
      </c>
    </row>
    <row r="30" spans="1:18">
      <c r="A30" s="15" t="s">
        <v>372</v>
      </c>
      <c r="B30" s="17" t="n">
        <v>2263</v>
      </c>
      <c r="C30" s="18">
        <f>(1993.0/B30*100)</f>
        <v/>
      </c>
      <c r="D30" s="19" t="n">
        <v>270</v>
      </c>
      <c r="E30" s="18" t="n">
        <v>10.39234588</v>
      </c>
      <c r="F30" s="20" t="n">
        <v>1.925998</v>
      </c>
      <c r="G30" s="18" t="n">
        <v>88.13674473</v>
      </c>
      <c r="H30" s="20" t="n">
        <v>2.04510455</v>
      </c>
      <c r="I30" s="18" t="s">
        <v>349</v>
      </c>
      <c r="J30" s="20" t="s">
        <v>349</v>
      </c>
      <c r="K30" s="18" t="n">
        <v>0</v>
      </c>
      <c r="L30" s="20" t="n">
        <v>0</v>
      </c>
      <c r="M30" s="18" t="n">
        <v>0</v>
      </c>
      <c r="N30" s="20" t="n">
        <v>0</v>
      </c>
      <c r="O30" s="18" t="n">
        <v>0</v>
      </c>
      <c r="P30" s="20" t="n">
        <v>0</v>
      </c>
      <c r="Q30" s="18" t="n">
        <v>1.47090939</v>
      </c>
      <c r="R30" s="20" t="n">
        <v>0.73985515</v>
      </c>
    </row>
    <row r="31" spans="1:18">
      <c r="A31" s="15" t="s">
        <v>373</v>
      </c>
      <c r="B31" s="17" t="n">
        <v>2750</v>
      </c>
      <c r="C31" s="18">
        <f>(2418.0/B31*100)</f>
        <v/>
      </c>
      <c r="D31" s="19" t="n">
        <v>332</v>
      </c>
      <c r="E31" s="18" t="n">
        <v>9.00581833</v>
      </c>
      <c r="F31" s="20" t="n">
        <v>1.69849025</v>
      </c>
      <c r="G31" s="18" t="n">
        <v>89.16607021999999</v>
      </c>
      <c r="H31" s="20" t="n">
        <v>1.86723386</v>
      </c>
      <c r="I31" s="18" t="s">
        <v>349</v>
      </c>
      <c r="J31" s="20" t="s">
        <v>349</v>
      </c>
      <c r="K31" s="18" t="n">
        <v>0</v>
      </c>
      <c r="L31" s="20" t="n">
        <v>0</v>
      </c>
      <c r="M31" s="18" t="n">
        <v>0</v>
      </c>
      <c r="N31" s="20" t="n">
        <v>0</v>
      </c>
      <c r="O31" s="18" t="n">
        <v>0</v>
      </c>
      <c r="P31" s="20" t="n">
        <v>0</v>
      </c>
      <c r="Q31" s="18" t="n">
        <v>1.82811145</v>
      </c>
      <c r="R31" s="20" t="n">
        <v>0.78067851</v>
      </c>
    </row>
    <row r="32" spans="1:18">
      <c r="A32" s="15" t="s">
        <v>374</v>
      </c>
      <c r="B32" s="17" t="n">
        <v>2269</v>
      </c>
      <c r="C32" s="18">
        <f>(1853.0/B32*100)</f>
        <v/>
      </c>
      <c r="D32" s="19" t="n">
        <v>416</v>
      </c>
      <c r="E32" s="18" t="n">
        <v>10.2335008</v>
      </c>
      <c r="F32" s="20" t="n">
        <v>1.5470925</v>
      </c>
      <c r="G32" s="18" t="n">
        <v>89.53955246</v>
      </c>
      <c r="H32" s="20" t="n">
        <v>1.56536306</v>
      </c>
      <c r="I32" s="18" t="s">
        <v>349</v>
      </c>
      <c r="J32" s="20" t="s">
        <v>349</v>
      </c>
      <c r="K32" s="18" t="n">
        <v>0</v>
      </c>
      <c r="L32" s="20" t="n">
        <v>0</v>
      </c>
      <c r="M32" s="18" t="n">
        <v>0</v>
      </c>
      <c r="N32" s="20" t="n">
        <v>0</v>
      </c>
      <c r="O32" s="18" t="n">
        <v>0</v>
      </c>
      <c r="P32" s="20" t="n">
        <v>0</v>
      </c>
      <c r="Q32" s="18" t="n">
        <v>0.22694674</v>
      </c>
      <c r="R32" s="20" t="n">
        <v>0.22916377</v>
      </c>
    </row>
    <row r="33" spans="1:18">
      <c r="A33" s="15" t="s">
        <v>375</v>
      </c>
      <c r="B33" s="17" t="n">
        <v>3674</v>
      </c>
      <c r="C33" s="18">
        <f>(3236.0/B33*100)</f>
        <v/>
      </c>
      <c r="D33" s="19" t="n">
        <v>438</v>
      </c>
      <c r="E33" s="18" t="n">
        <v>7.62733278</v>
      </c>
      <c r="F33" s="20" t="n">
        <v>1.35172858</v>
      </c>
      <c r="G33" s="18" t="n">
        <v>91.09541129999999</v>
      </c>
      <c r="H33" s="20" t="n">
        <v>1.68920451</v>
      </c>
      <c r="I33" s="18" t="s">
        <v>349</v>
      </c>
      <c r="J33" s="20" t="s">
        <v>349</v>
      </c>
      <c r="K33" s="18" t="n">
        <v>0.67946621</v>
      </c>
      <c r="L33" s="20" t="n">
        <v>0.78737528</v>
      </c>
      <c r="M33" s="18" t="n">
        <v>0</v>
      </c>
      <c r="N33" s="20" t="n">
        <v>0</v>
      </c>
      <c r="O33" s="18" t="n">
        <v>0</v>
      </c>
      <c r="P33" s="20" t="n">
        <v>0</v>
      </c>
      <c r="Q33" s="18" t="n">
        <v>0.59778971</v>
      </c>
      <c r="R33" s="20" t="n">
        <v>0.64175442</v>
      </c>
    </row>
    <row r="34" spans="1:18">
      <c r="A34" s="15" t="s">
        <v>376</v>
      </c>
      <c r="B34" s="17" t="n">
        <v>3315</v>
      </c>
      <c r="C34" s="18">
        <f>(2911.0/B34*100)</f>
        <v/>
      </c>
      <c r="D34" s="19" t="n">
        <v>404</v>
      </c>
      <c r="E34" s="18" t="n">
        <v>12.06849711</v>
      </c>
      <c r="F34" s="20" t="n">
        <v>1.73738905</v>
      </c>
      <c r="G34" s="18" t="n">
        <v>85.75180902</v>
      </c>
      <c r="H34" s="20" t="n">
        <v>1.86555974</v>
      </c>
      <c r="I34" s="18" t="s">
        <v>349</v>
      </c>
      <c r="J34" s="20" t="s">
        <v>349</v>
      </c>
      <c r="K34" s="18" t="n">
        <v>0.20107116</v>
      </c>
      <c r="L34" s="20" t="n">
        <v>0.2004612</v>
      </c>
      <c r="M34" s="18" t="n">
        <v>0</v>
      </c>
      <c r="N34" s="20" t="n">
        <v>0</v>
      </c>
      <c r="O34" s="18" t="n">
        <v>0</v>
      </c>
      <c r="P34" s="20" t="n">
        <v>0</v>
      </c>
      <c r="Q34" s="18" t="n">
        <v>1.9786227</v>
      </c>
      <c r="R34" s="20" t="n">
        <v>0.61769973</v>
      </c>
    </row>
    <row r="35" spans="1:18">
      <c r="A35" s="15" t="s">
        <v>377</v>
      </c>
      <c r="B35" s="17" t="n">
        <v>3505</v>
      </c>
      <c r="C35" s="18">
        <f>(3090.0/B35*100)</f>
        <v/>
      </c>
      <c r="D35" s="19" t="n">
        <v>415</v>
      </c>
      <c r="E35" s="18" t="n">
        <v>11.68826054</v>
      </c>
      <c r="F35" s="20" t="n">
        <v>1.99393624</v>
      </c>
      <c r="G35" s="18" t="n">
        <v>88.04990819</v>
      </c>
      <c r="H35" s="20" t="n">
        <v>1.99606982</v>
      </c>
      <c r="I35" s="18" t="s">
        <v>349</v>
      </c>
      <c r="J35" s="20" t="s">
        <v>349</v>
      </c>
      <c r="K35" s="18" t="n">
        <v>0.12250819</v>
      </c>
      <c r="L35" s="20" t="n">
        <v>0.12272509</v>
      </c>
      <c r="M35" s="18" t="n">
        <v>0</v>
      </c>
      <c r="N35" s="20" t="n">
        <v>0</v>
      </c>
      <c r="O35" s="18" t="n">
        <v>0</v>
      </c>
      <c r="P35" s="20" t="n">
        <v>0</v>
      </c>
      <c r="Q35" s="18" t="n">
        <v>0.13932308</v>
      </c>
      <c r="R35" s="20" t="n">
        <v>0.14068628</v>
      </c>
    </row>
    <row r="36" spans="1:18">
      <c r="A36" s="15" t="s">
        <v>378</v>
      </c>
      <c r="B36" s="17" t="n">
        <v>3332</v>
      </c>
      <c r="C36" s="18">
        <f>(2922.0/B36*100)</f>
        <v/>
      </c>
      <c r="D36" s="19" t="n">
        <v>410</v>
      </c>
      <c r="E36" s="18" t="n">
        <v>13.77611412</v>
      </c>
      <c r="F36" s="20" t="n">
        <v>1.74542966</v>
      </c>
      <c r="G36" s="18" t="n">
        <v>85.57243318</v>
      </c>
      <c r="H36" s="20" t="n">
        <v>1.80797937</v>
      </c>
      <c r="I36" s="18" t="s">
        <v>349</v>
      </c>
      <c r="J36" s="20" t="s">
        <v>349</v>
      </c>
      <c r="K36" s="18" t="n">
        <v>0.494483</v>
      </c>
      <c r="L36" s="20" t="n">
        <v>0.37864561</v>
      </c>
      <c r="M36" s="18" t="n">
        <v>0</v>
      </c>
      <c r="N36" s="20" t="n">
        <v>0</v>
      </c>
      <c r="O36" s="18" t="n">
        <v>0</v>
      </c>
      <c r="P36" s="20" t="n">
        <v>0</v>
      </c>
      <c r="Q36" s="18" t="n">
        <v>0.1569697</v>
      </c>
      <c r="R36" s="20" t="n">
        <v>0.13269502</v>
      </c>
    </row>
    <row r="37" spans="1:18">
      <c r="A37" s="15" t="s">
        <v>379</v>
      </c>
      <c r="B37" s="17" t="n">
        <v>2727</v>
      </c>
      <c r="C37" s="18">
        <f>(2391.0/B37*100)</f>
        <v/>
      </c>
      <c r="D37" s="19" t="n">
        <v>336</v>
      </c>
      <c r="E37" s="18" t="n">
        <v>11.32207559</v>
      </c>
      <c r="F37" s="20" t="n">
        <v>1.79102576</v>
      </c>
      <c r="G37" s="18" t="n">
        <v>86.90358882</v>
      </c>
      <c r="H37" s="20" t="n">
        <v>1.92660321</v>
      </c>
      <c r="I37" s="18" t="s">
        <v>349</v>
      </c>
      <c r="J37" s="20" t="s">
        <v>349</v>
      </c>
      <c r="K37" s="18" t="n">
        <v>0.25494552</v>
      </c>
      <c r="L37" s="20" t="n">
        <v>0.35849615</v>
      </c>
      <c r="M37" s="18" t="n">
        <v>0</v>
      </c>
      <c r="N37" s="20" t="n">
        <v>0</v>
      </c>
      <c r="O37" s="18" t="n">
        <v>0</v>
      </c>
      <c r="P37" s="20" t="n">
        <v>0</v>
      </c>
      <c r="Q37" s="18" t="n">
        <v>1.51939007</v>
      </c>
      <c r="R37" s="20" t="n">
        <v>0.6798636</v>
      </c>
    </row>
    <row r="38" spans="1:18">
      <c r="A38" s="15" t="s">
        <v>380</v>
      </c>
      <c r="B38" s="17" t="n">
        <v>3053</v>
      </c>
      <c r="C38" s="18">
        <f>(2522.0/B38*100)</f>
        <v/>
      </c>
      <c r="D38" s="19" t="n">
        <v>531</v>
      </c>
      <c r="E38" s="18" t="n">
        <v>13.24932489</v>
      </c>
      <c r="F38" s="20" t="n">
        <v>1.78042935</v>
      </c>
      <c r="G38" s="18" t="n">
        <v>85.8066341</v>
      </c>
      <c r="H38" s="20" t="n">
        <v>1.79428277</v>
      </c>
      <c r="I38" s="18" t="s">
        <v>349</v>
      </c>
      <c r="J38" s="20" t="s">
        <v>349</v>
      </c>
      <c r="K38" s="18" t="n">
        <v>0.18197733</v>
      </c>
      <c r="L38" s="20" t="n">
        <v>0.19732273</v>
      </c>
      <c r="M38" s="18" t="n">
        <v>0</v>
      </c>
      <c r="N38" s="20" t="n">
        <v>0</v>
      </c>
      <c r="O38" s="18" t="n">
        <v>0</v>
      </c>
      <c r="P38" s="20" t="n">
        <v>0</v>
      </c>
      <c r="Q38" s="18" t="n">
        <v>0.76206368</v>
      </c>
      <c r="R38" s="20" t="n">
        <v>0.37827999</v>
      </c>
    </row>
    <row r="39" spans="1:18">
      <c r="A39" s="15" t="s">
        <v>381</v>
      </c>
      <c r="B39" s="17" t="n">
        <v>2957</v>
      </c>
      <c r="C39" s="18">
        <f>(2613.0/B39*100)</f>
        <v/>
      </c>
      <c r="D39" s="19" t="n">
        <v>344</v>
      </c>
      <c r="E39" s="18" t="n">
        <v>27.36106918</v>
      </c>
      <c r="F39" s="20" t="n">
        <v>2.72714635</v>
      </c>
      <c r="G39" s="18" t="n">
        <v>71.30972614</v>
      </c>
      <c r="H39" s="20" t="n">
        <v>2.74230402</v>
      </c>
      <c r="I39" s="18" t="s">
        <v>349</v>
      </c>
      <c r="J39" s="20" t="s">
        <v>349</v>
      </c>
      <c r="K39" s="18" t="n">
        <v>0</v>
      </c>
      <c r="L39" s="20" t="n">
        <v>0</v>
      </c>
      <c r="M39" s="18" t="n">
        <v>0</v>
      </c>
      <c r="N39" s="20" t="n">
        <v>0</v>
      </c>
      <c r="O39" s="18" t="n">
        <v>0</v>
      </c>
      <c r="P39" s="20" t="n">
        <v>0</v>
      </c>
      <c r="Q39" s="18" t="n">
        <v>1.32920468</v>
      </c>
      <c r="R39" s="20" t="n">
        <v>0.43663435</v>
      </c>
    </row>
    <row r="40" spans="1:18">
      <c r="A40" s="15" t="s">
        <v>382</v>
      </c>
      <c r="B40" s="17" t="n">
        <v>7235</v>
      </c>
      <c r="C40" s="18">
        <f>(6349.0/B40*100)</f>
        <v/>
      </c>
      <c r="D40" s="19" t="n">
        <v>886</v>
      </c>
      <c r="E40" s="18" t="n">
        <v>13.04910091</v>
      </c>
      <c r="F40" s="20" t="n">
        <v>1.58747553</v>
      </c>
      <c r="G40" s="18" t="n">
        <v>85.79073707000001</v>
      </c>
      <c r="H40" s="20" t="n">
        <v>1.62051381</v>
      </c>
      <c r="I40" s="18" t="s">
        <v>349</v>
      </c>
      <c r="J40" s="20" t="s">
        <v>349</v>
      </c>
      <c r="K40" s="18" t="n">
        <v>0</v>
      </c>
      <c r="L40" s="20" t="n">
        <v>0</v>
      </c>
      <c r="M40" s="18" t="n">
        <v>0</v>
      </c>
      <c r="N40" s="20" t="n">
        <v>0</v>
      </c>
      <c r="O40" s="18" t="n">
        <v>0</v>
      </c>
      <c r="P40" s="20" t="n">
        <v>0</v>
      </c>
      <c r="Q40" s="18" t="n">
        <v>1.16016202</v>
      </c>
      <c r="R40" s="20" t="n">
        <v>0.58138826</v>
      </c>
    </row>
    <row r="41" spans="1:18">
      <c r="A41" s="15" t="s">
        <v>383</v>
      </c>
      <c r="B41" s="17" t="n">
        <v>2858</v>
      </c>
      <c r="C41" s="18">
        <f>(2510.0/B41*100)</f>
        <v/>
      </c>
      <c r="D41" s="19" t="n">
        <v>348</v>
      </c>
      <c r="E41" s="18" t="n">
        <v>14.0044869</v>
      </c>
      <c r="F41" s="20" t="n">
        <v>2.31148063</v>
      </c>
      <c r="G41" s="18" t="n">
        <v>84.84066335999999</v>
      </c>
      <c r="H41" s="20" t="n">
        <v>2.49245976</v>
      </c>
      <c r="I41" s="18" t="s">
        <v>349</v>
      </c>
      <c r="J41" s="20" t="s">
        <v>349</v>
      </c>
      <c r="K41" s="18" t="n">
        <v>0</v>
      </c>
      <c r="L41" s="20" t="n">
        <v>0</v>
      </c>
      <c r="M41" s="18" t="n">
        <v>0</v>
      </c>
      <c r="N41" s="20" t="n">
        <v>0</v>
      </c>
      <c r="O41" s="18" t="n">
        <v>0</v>
      </c>
      <c r="P41" s="20" t="n">
        <v>0</v>
      </c>
      <c r="Q41" s="18" t="n">
        <v>1.15484974</v>
      </c>
      <c r="R41" s="20" t="n">
        <v>1.02233512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(9762.0/B46*100)</f>
        <v/>
      </c>
      <c r="D46" s="19" t="n">
        <v>1306</v>
      </c>
      <c r="E46" s="18" t="n">
        <v>24.12266711</v>
      </c>
      <c r="F46" s="20" t="n">
        <v>1.81730017</v>
      </c>
      <c r="G46" s="18" t="n">
        <v>70.20133072</v>
      </c>
      <c r="H46" s="20" t="n">
        <v>1.78248467</v>
      </c>
      <c r="I46" s="18" t="s">
        <v>349</v>
      </c>
      <c r="J46" s="20" t="s">
        <v>349</v>
      </c>
      <c r="K46" s="18" t="n">
        <v>0.61039743</v>
      </c>
      <c r="L46" s="20" t="n">
        <v>0.29678675</v>
      </c>
      <c r="M46" s="18" t="n">
        <v>0</v>
      </c>
      <c r="N46" s="20" t="n">
        <v>0</v>
      </c>
      <c r="O46" s="18" t="n">
        <v>0</v>
      </c>
      <c r="P46" s="20" t="n">
        <v>0</v>
      </c>
      <c r="Q46" s="18" t="n">
        <v>5.06560474</v>
      </c>
      <c r="R46" s="20" t="n">
        <v>0.75189776</v>
      </c>
    </row>
    <row r="47" spans="1:18">
      <c r="A47" s="15" t="s">
        <v>389</v>
      </c>
      <c r="B47" s="17" t="n">
        <v>3105</v>
      </c>
      <c r="C47" s="18">
        <f>(2708.0/B47*100)</f>
        <v/>
      </c>
      <c r="D47" s="19" t="n">
        <v>397</v>
      </c>
      <c r="E47" s="18" t="n">
        <v>26.76083006</v>
      </c>
      <c r="F47" s="20" t="n">
        <v>2.35476795</v>
      </c>
      <c r="G47" s="18" t="n">
        <v>69.99954289</v>
      </c>
      <c r="H47" s="20" t="n">
        <v>2.56786273</v>
      </c>
      <c r="I47" s="18" t="s">
        <v>349</v>
      </c>
      <c r="J47" s="20" t="s">
        <v>349</v>
      </c>
      <c r="K47" s="18" t="n">
        <v>0</v>
      </c>
      <c r="L47" s="20" t="n">
        <v>0</v>
      </c>
      <c r="M47" s="18" t="n">
        <v>0</v>
      </c>
      <c r="N47" s="20" t="n">
        <v>0</v>
      </c>
      <c r="O47" s="18" t="n">
        <v>0</v>
      </c>
      <c r="P47" s="20" t="n">
        <v>0</v>
      </c>
      <c r="Q47" s="18" t="n">
        <v>3.23962705</v>
      </c>
      <c r="R47" s="20" t="n">
        <v>1.10238824</v>
      </c>
    </row>
    <row r="48" spans="1:18">
      <c r="A48" s="15" t="s">
        <v>390</v>
      </c>
      <c r="B48" s="17" t="n">
        <v>5159</v>
      </c>
      <c r="C48" s="18">
        <f>(4547.0/B48*100)</f>
        <v/>
      </c>
      <c r="D48" s="19" t="n">
        <v>612</v>
      </c>
      <c r="E48" s="18" t="n">
        <v>24.82240448</v>
      </c>
      <c r="F48" s="20" t="n">
        <v>2.58182466</v>
      </c>
      <c r="G48" s="18" t="n">
        <v>73.88866457</v>
      </c>
      <c r="H48" s="20" t="n">
        <v>2.61154421</v>
      </c>
      <c r="I48" s="18" t="s">
        <v>349</v>
      </c>
      <c r="J48" s="20" t="s">
        <v>349</v>
      </c>
      <c r="K48" s="18" t="n">
        <v>0.83887491</v>
      </c>
      <c r="L48" s="20" t="n">
        <v>0.61641934</v>
      </c>
      <c r="M48" s="18" t="n">
        <v>0</v>
      </c>
      <c r="N48" s="20" t="n">
        <v>0</v>
      </c>
      <c r="O48" s="18" t="n">
        <v>0</v>
      </c>
      <c r="P48" s="20" t="n">
        <v>0</v>
      </c>
      <c r="Q48" s="18" t="n">
        <v>0.45005604</v>
      </c>
      <c r="R48" s="20" t="n">
        <v>0.30817851</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(4938.0/B50*100)</f>
        <v/>
      </c>
      <c r="D50" s="19" t="n">
        <v>699</v>
      </c>
      <c r="E50" s="18" t="n">
        <v>24.80515303</v>
      </c>
      <c r="F50" s="20" t="n">
        <v>2.4617069</v>
      </c>
      <c r="G50" s="18" t="n">
        <v>73.35004539000001</v>
      </c>
      <c r="H50" s="20" t="n">
        <v>2.46719911</v>
      </c>
      <c r="I50" s="18" t="s">
        <v>349</v>
      </c>
      <c r="J50" s="20" t="s">
        <v>349</v>
      </c>
      <c r="K50" s="18" t="n">
        <v>0.92737263</v>
      </c>
      <c r="L50" s="20" t="n">
        <v>0.65242935</v>
      </c>
      <c r="M50" s="18" t="n">
        <v>0</v>
      </c>
      <c r="N50" s="20" t="n">
        <v>0</v>
      </c>
      <c r="O50" s="18" t="n">
        <v>0</v>
      </c>
      <c r="P50" s="20" t="n">
        <v>0</v>
      </c>
      <c r="Q50" s="18" t="n">
        <v>0.91742895</v>
      </c>
      <c r="R50" s="20" t="n">
        <v>0.49822226</v>
      </c>
    </row>
    <row r="51" spans="1:18">
      <c r="A51" s="15" t="s">
        <v>393</v>
      </c>
      <c r="B51" s="17" t="n">
        <v>3372</v>
      </c>
      <c r="C51" s="18">
        <f>(2993.0/B51*100)</f>
        <v/>
      </c>
      <c r="D51" s="19" t="n">
        <v>379</v>
      </c>
      <c r="E51" s="18" t="n">
        <v>23.71018951</v>
      </c>
      <c r="F51" s="20" t="n">
        <v>2.34577338</v>
      </c>
      <c r="G51" s="18" t="n">
        <v>75.21107563</v>
      </c>
      <c r="H51" s="20" t="n">
        <v>2.53614979</v>
      </c>
      <c r="I51" s="18" t="s">
        <v>349</v>
      </c>
      <c r="J51" s="20" t="s">
        <v>349</v>
      </c>
      <c r="K51" s="18" t="n">
        <v>0.04285268</v>
      </c>
      <c r="L51" s="20" t="n">
        <v>0.04302197</v>
      </c>
      <c r="M51" s="18" t="n">
        <v>0</v>
      </c>
      <c r="N51" s="20" t="n">
        <v>0</v>
      </c>
      <c r="O51" s="18" t="n">
        <v>0</v>
      </c>
      <c r="P51" s="20" t="n">
        <v>0</v>
      </c>
      <c r="Q51" s="18" t="n">
        <v>1.03588218</v>
      </c>
      <c r="R51" s="20" t="n">
        <v>0.57273738</v>
      </c>
    </row>
    <row r="52" spans="1:18">
      <c r="A52" s="15" t="s">
        <v>394</v>
      </c>
      <c r="B52" s="17" t="n">
        <v>2796</v>
      </c>
      <c r="C52" s="18">
        <f>(2457.0/B52*100)</f>
        <v/>
      </c>
      <c r="D52" s="19" t="n">
        <v>339</v>
      </c>
      <c r="E52" s="18" t="n">
        <v>20.25000116</v>
      </c>
      <c r="F52" s="20" t="n">
        <v>2.01070771</v>
      </c>
      <c r="G52" s="18" t="n">
        <v>77.08487956</v>
      </c>
      <c r="H52" s="20" t="n">
        <v>2.26643446</v>
      </c>
      <c r="I52" s="18" t="s">
        <v>349</v>
      </c>
      <c r="J52" s="20" t="s">
        <v>349</v>
      </c>
      <c r="K52" s="18" t="n">
        <v>0.54304128</v>
      </c>
      <c r="L52" s="20" t="n">
        <v>0.387552</v>
      </c>
      <c r="M52" s="18" t="n">
        <v>0</v>
      </c>
      <c r="N52" s="20" t="n">
        <v>0</v>
      </c>
      <c r="O52" s="18" t="n">
        <v>0</v>
      </c>
      <c r="P52" s="20" t="n">
        <v>0</v>
      </c>
      <c r="Q52" s="18" t="n">
        <v>2.122078</v>
      </c>
      <c r="R52" s="20" t="n">
        <v>0.9475070799999999</v>
      </c>
    </row>
    <row r="53" spans="1:18">
      <c r="A53" s="15" t="s">
        <v>395</v>
      </c>
      <c r="B53" s="17" t="n">
        <v>2811</v>
      </c>
      <c r="C53" s="18">
        <f>(2470.0/B53*100)</f>
        <v/>
      </c>
      <c r="D53" s="19" t="n">
        <v>341</v>
      </c>
      <c r="E53" s="18" t="n">
        <v>19.56507854</v>
      </c>
      <c r="F53" s="20" t="n">
        <v>2.25265399</v>
      </c>
      <c r="G53" s="18" t="n">
        <v>77.09077078999999</v>
      </c>
      <c r="H53" s="20" t="n">
        <v>2.33223974</v>
      </c>
      <c r="I53" s="18" t="s">
        <v>349</v>
      </c>
      <c r="J53" s="20" t="s">
        <v>349</v>
      </c>
      <c r="K53" s="18" t="n">
        <v>0.20822359</v>
      </c>
      <c r="L53" s="20" t="n">
        <v>0.20727976</v>
      </c>
      <c r="M53" s="18" t="n">
        <v>0</v>
      </c>
      <c r="N53" s="20" t="n">
        <v>0</v>
      </c>
      <c r="O53" s="18" t="n">
        <v>0</v>
      </c>
      <c r="P53" s="20" t="n">
        <v>0</v>
      </c>
      <c r="Q53" s="18" t="n">
        <v>3.13592708</v>
      </c>
      <c r="R53" s="20" t="n">
        <v>1.03729494</v>
      </c>
    </row>
    <row r="54" spans="1:18">
      <c r="A54" s="15" t="s">
        <v>396</v>
      </c>
      <c r="B54" s="17" t="n">
        <v>2266</v>
      </c>
      <c r="C54" s="18">
        <f>(1889.0/B54*100)</f>
        <v/>
      </c>
      <c r="D54" s="19" t="n">
        <v>377</v>
      </c>
      <c r="E54" s="18" t="n">
        <v>43.3094745</v>
      </c>
      <c r="F54" s="20" t="n">
        <v>2.788865</v>
      </c>
      <c r="G54" s="18" t="n">
        <v>45.97325353</v>
      </c>
      <c r="H54" s="20" t="n">
        <v>2.96541939</v>
      </c>
      <c r="I54" s="18" t="s">
        <v>349</v>
      </c>
      <c r="J54" s="20" t="s">
        <v>349</v>
      </c>
      <c r="K54" s="18" t="n">
        <v>4.00286613</v>
      </c>
      <c r="L54" s="20" t="n">
        <v>1.27482397</v>
      </c>
      <c r="M54" s="18" t="n">
        <v>0</v>
      </c>
      <c r="N54" s="20" t="n">
        <v>0</v>
      </c>
      <c r="O54" s="18" t="n">
        <v>0</v>
      </c>
      <c r="P54" s="20" t="n">
        <v>0</v>
      </c>
      <c r="Q54" s="18" t="n">
        <v>6.71440583</v>
      </c>
      <c r="R54" s="20" t="n">
        <v>2.17617889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(2348.0/B56*100)</f>
        <v/>
      </c>
      <c r="D56" s="19" t="n">
        <v>336</v>
      </c>
      <c r="E56" s="18" t="n">
        <v>22.9461436</v>
      </c>
      <c r="F56" s="20" t="n">
        <v>2.48196673</v>
      </c>
      <c r="G56" s="18" t="n">
        <v>76.16419824</v>
      </c>
      <c r="H56" s="20" t="n">
        <v>2.51607528</v>
      </c>
      <c r="I56" s="18" t="s">
        <v>349</v>
      </c>
      <c r="J56" s="20" t="s">
        <v>349</v>
      </c>
      <c r="K56" s="18" t="n">
        <v>0</v>
      </c>
      <c r="L56" s="20" t="n">
        <v>0</v>
      </c>
      <c r="M56" s="18" t="n">
        <v>0</v>
      </c>
      <c r="N56" s="20" t="n">
        <v>0</v>
      </c>
      <c r="O56" s="18" t="n">
        <v>0</v>
      </c>
      <c r="P56" s="20" t="n">
        <v>0</v>
      </c>
      <c r="Q56" s="18" t="n">
        <v>0.88965816</v>
      </c>
      <c r="R56" s="20" t="n">
        <v>0.50110154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(2925.0/B61*100)</f>
        <v/>
      </c>
      <c r="D61" s="19" t="n">
        <v>399</v>
      </c>
      <c r="E61" s="18" t="n">
        <v>21.67019038</v>
      </c>
      <c r="F61" s="20" t="n">
        <v>2.37289608</v>
      </c>
      <c r="G61" s="18" t="n">
        <v>76.95262061</v>
      </c>
      <c r="H61" s="20" t="n">
        <v>2.44063321</v>
      </c>
      <c r="I61" s="18" t="s">
        <v>349</v>
      </c>
      <c r="J61" s="20" t="s">
        <v>349</v>
      </c>
      <c r="K61" s="18" t="n">
        <v>0.06560932</v>
      </c>
      <c r="L61" s="20" t="n">
        <v>0.06636918</v>
      </c>
      <c r="M61" s="18" t="n">
        <v>0</v>
      </c>
      <c r="N61" s="20" t="n">
        <v>0</v>
      </c>
      <c r="O61" s="18" t="n">
        <v>0</v>
      </c>
      <c r="P61" s="20" t="n">
        <v>0</v>
      </c>
      <c r="Q61" s="18" t="n">
        <v>1.31157969</v>
      </c>
      <c r="R61" s="20" t="n">
        <v>0.64489629</v>
      </c>
    </row>
    <row r="62" spans="1:18">
      <c r="A62" s="15" t="s">
        <v>404</v>
      </c>
      <c r="B62" s="17" t="n">
        <v>2246</v>
      </c>
      <c r="C62" s="18">
        <f>(1957.0/B62*100)</f>
        <v/>
      </c>
      <c r="D62" s="19" t="n">
        <v>289</v>
      </c>
      <c r="E62" s="18" t="n">
        <v>17.62315386</v>
      </c>
      <c r="F62" s="20" t="n">
        <v>2.02997906</v>
      </c>
      <c r="G62" s="18" t="n">
        <v>82.37684614</v>
      </c>
      <c r="H62" s="20" t="n">
        <v>2.02997906</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(2539.0/B66*100)</f>
        <v/>
      </c>
      <c r="D66" s="19" t="n">
        <v>355</v>
      </c>
      <c r="E66" s="18" t="n">
        <v>19.97892443</v>
      </c>
      <c r="F66" s="20" t="n">
        <v>2.16883937</v>
      </c>
      <c r="G66" s="18" t="n">
        <v>74.48763833</v>
      </c>
      <c r="H66" s="20" t="n">
        <v>2.35944236</v>
      </c>
      <c r="I66" s="18" t="s">
        <v>349</v>
      </c>
      <c r="J66" s="20" t="s">
        <v>349</v>
      </c>
      <c r="K66" s="18" t="n">
        <v>0.28567133</v>
      </c>
      <c r="L66" s="20" t="n">
        <v>0.28607133</v>
      </c>
      <c r="M66" s="18" t="n">
        <v>0</v>
      </c>
      <c r="N66" s="20" t="n">
        <v>0</v>
      </c>
      <c r="O66" s="18" t="n">
        <v>0</v>
      </c>
      <c r="P66" s="20" t="n">
        <v>0</v>
      </c>
      <c r="Q66" s="18" t="n">
        <v>5.24776591</v>
      </c>
      <c r="R66" s="20" t="n">
        <v>1.12722953</v>
      </c>
    </row>
    <row r="67" spans="1:18">
      <c r="A67" s="15" t="s">
        <v>409</v>
      </c>
      <c r="B67" s="17" t="n">
        <v>3511</v>
      </c>
      <c r="C67" s="18">
        <f>(3105.0/B67*100)</f>
        <v/>
      </c>
      <c r="D67" s="19" t="n">
        <v>406</v>
      </c>
      <c r="E67" s="18" t="n">
        <v>21.74276259</v>
      </c>
      <c r="F67" s="20" t="n">
        <v>1.97935118</v>
      </c>
      <c r="G67" s="18" t="n">
        <v>76.32753408000001</v>
      </c>
      <c r="H67" s="20" t="n">
        <v>1.9769955</v>
      </c>
      <c r="I67" s="18" t="s">
        <v>349</v>
      </c>
      <c r="J67" s="20" t="s">
        <v>349</v>
      </c>
      <c r="K67" s="18" t="n">
        <v>0</v>
      </c>
      <c r="L67" s="20" t="n">
        <v>0</v>
      </c>
      <c r="M67" s="18" t="n">
        <v>0</v>
      </c>
      <c r="N67" s="20" t="n">
        <v>0</v>
      </c>
      <c r="O67" s="18" t="n">
        <v>0</v>
      </c>
      <c r="P67" s="20" t="n">
        <v>0</v>
      </c>
      <c r="Q67" s="18" t="n">
        <v>1.92970333</v>
      </c>
      <c r="R67" s="20" t="n">
        <v>0.60319246</v>
      </c>
    </row>
    <row r="68" spans="1:18">
      <c r="A68" s="15" t="s">
        <v>410</v>
      </c>
      <c r="B68" s="17" t="n">
        <v>6049</v>
      </c>
      <c r="C68" s="18">
        <f>(5035.0/B68*100)</f>
        <v/>
      </c>
      <c r="D68" s="19" t="n">
        <v>1014</v>
      </c>
      <c r="E68" s="18" t="n">
        <v>26.96752054</v>
      </c>
      <c r="F68" s="20" t="n">
        <v>1.18108833</v>
      </c>
      <c r="G68" s="18" t="n">
        <v>68.91129331</v>
      </c>
      <c r="H68" s="20" t="n">
        <v>1.29339859</v>
      </c>
      <c r="I68" s="18" t="s">
        <v>349</v>
      </c>
      <c r="J68" s="20" t="s">
        <v>349</v>
      </c>
      <c r="K68" s="18" t="n">
        <v>0.6715901</v>
      </c>
      <c r="L68" s="20" t="n">
        <v>0.24876849</v>
      </c>
      <c r="M68" s="18" t="n">
        <v>0</v>
      </c>
      <c r="N68" s="20" t="n">
        <v>0</v>
      </c>
      <c r="O68" s="18" t="n">
        <v>0</v>
      </c>
      <c r="P68" s="20" t="n">
        <v>0</v>
      </c>
      <c r="Q68" s="18" t="n">
        <v>3.44959605</v>
      </c>
      <c r="R68" s="20" t="n">
        <v>0.54606496</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(2572.0/B70*100)</f>
        <v/>
      </c>
      <c r="D70" s="19" t="n">
        <v>357</v>
      </c>
      <c r="E70" s="18" t="n">
        <v>15.28852723</v>
      </c>
      <c r="F70" s="20" t="n">
        <v>2.74054533</v>
      </c>
      <c r="G70" s="18" t="n">
        <v>84.14531534</v>
      </c>
      <c r="H70" s="20" t="n">
        <v>2.73343402</v>
      </c>
      <c r="I70" s="18" t="s">
        <v>349</v>
      </c>
      <c r="J70" s="20" t="s">
        <v>349</v>
      </c>
      <c r="K70" s="18" t="n">
        <v>0</v>
      </c>
      <c r="L70" s="20" t="n">
        <v>0</v>
      </c>
      <c r="M70" s="18" t="n">
        <v>0</v>
      </c>
      <c r="N70" s="20" t="n">
        <v>0</v>
      </c>
      <c r="O70" s="18" t="n">
        <v>0</v>
      </c>
      <c r="P70" s="20" t="n">
        <v>0</v>
      </c>
      <c r="Q70" s="18" t="n">
        <v>0.56615744</v>
      </c>
      <c r="R70" s="20" t="n">
        <v>0.29177136</v>
      </c>
    </row>
    <row r="71" spans="1:18">
      <c r="A71" s="15" t="s">
        <v>413</v>
      </c>
      <c r="B71" s="17" t="n">
        <v>3142</v>
      </c>
      <c r="C71" s="18">
        <f>(2755.0/B71*100)</f>
        <v/>
      </c>
      <c r="D71" s="19" t="n">
        <v>387</v>
      </c>
      <c r="E71" s="18" t="n">
        <v>11.52466334</v>
      </c>
      <c r="F71" s="20" t="n">
        <v>1.60529242</v>
      </c>
      <c r="G71" s="18" t="n">
        <v>87.99805916</v>
      </c>
      <c r="H71" s="20" t="n">
        <v>1.637131</v>
      </c>
      <c r="I71" s="18" t="s">
        <v>349</v>
      </c>
      <c r="J71" s="20" t="s">
        <v>349</v>
      </c>
      <c r="K71" s="18" t="n">
        <v>0.27329043</v>
      </c>
      <c r="L71" s="20" t="n">
        <v>0.25921558</v>
      </c>
      <c r="M71" s="18" t="n">
        <v>0</v>
      </c>
      <c r="N71" s="20" t="n">
        <v>0</v>
      </c>
      <c r="O71" s="18" t="n">
        <v>0</v>
      </c>
      <c r="P71" s="20" t="n">
        <v>0</v>
      </c>
      <c r="Q71" s="18" t="n">
        <v>0.20398708</v>
      </c>
      <c r="R71" s="20" t="n">
        <v>0.20386403</v>
      </c>
    </row>
    <row r="72" spans="1:18">
      <c r="A72" s="15" t="s">
        <v>414</v>
      </c>
      <c r="B72" s="17" t="n">
        <v>3889</v>
      </c>
      <c r="C72" s="18">
        <f>(3409.0/B72*100)</f>
        <v/>
      </c>
      <c r="D72" s="19" t="n">
        <v>480</v>
      </c>
      <c r="E72" s="18" t="n">
        <v>37.36374274</v>
      </c>
      <c r="F72" s="20" t="n">
        <v>2.40122355</v>
      </c>
      <c r="G72" s="18" t="n">
        <v>62.2530115</v>
      </c>
      <c r="H72" s="20" t="n">
        <v>2.36919545</v>
      </c>
      <c r="I72" s="18" t="s">
        <v>349</v>
      </c>
      <c r="J72" s="20" t="s">
        <v>349</v>
      </c>
      <c r="K72" s="18" t="n">
        <v>0</v>
      </c>
      <c r="L72" s="20" t="n">
        <v>0</v>
      </c>
      <c r="M72" s="18" t="n">
        <v>0</v>
      </c>
      <c r="N72" s="20" t="n">
        <v>0</v>
      </c>
      <c r="O72" s="18" t="n">
        <v>0</v>
      </c>
      <c r="P72" s="20" t="n">
        <v>0</v>
      </c>
      <c r="Q72" s="18" t="n">
        <v>0.38324575</v>
      </c>
      <c r="R72" s="20" t="n">
        <v>0.23343676</v>
      </c>
    </row>
    <row r="73" spans="1:18">
      <c r="A73" s="15" t="s">
        <v>415</v>
      </c>
      <c r="B73" s="17" t="n">
        <v>3597</v>
      </c>
      <c r="C73" s="18">
        <f>(3161.0/B73*100)</f>
        <v/>
      </c>
      <c r="D73" s="19" t="n">
        <v>436</v>
      </c>
      <c r="E73" s="18" t="n">
        <v>26.70603637</v>
      </c>
      <c r="F73" s="20" t="n">
        <v>2.58678932</v>
      </c>
      <c r="G73" s="18" t="n">
        <v>72.0129565</v>
      </c>
      <c r="H73" s="20" t="n">
        <v>2.74223501</v>
      </c>
      <c r="I73" s="18" t="s">
        <v>349</v>
      </c>
      <c r="J73" s="20" t="s">
        <v>349</v>
      </c>
      <c r="K73" s="18" t="n">
        <v>0</v>
      </c>
      <c r="L73" s="20" t="n">
        <v>0</v>
      </c>
      <c r="M73" s="18" t="n">
        <v>0</v>
      </c>
      <c r="N73" s="20" t="n">
        <v>0</v>
      </c>
      <c r="O73" s="18" t="n">
        <v>0</v>
      </c>
      <c r="P73" s="20" t="n">
        <v>0</v>
      </c>
      <c r="Q73" s="18" t="n">
        <v>1.28100713</v>
      </c>
      <c r="R73" s="20" t="n">
        <v>0.70251067</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(2113.0/B75*100)</f>
        <v/>
      </c>
      <c r="D75" s="19" t="n">
        <v>293</v>
      </c>
      <c r="E75" s="18" t="n">
        <v>20.97130488</v>
      </c>
      <c r="F75" s="20" t="n">
        <v>2.75374667</v>
      </c>
      <c r="G75" s="18" t="n">
        <v>77.34927064</v>
      </c>
      <c r="H75" s="20" t="n">
        <v>2.9291701</v>
      </c>
      <c r="I75" s="18" t="s">
        <v>349</v>
      </c>
      <c r="J75" s="20" t="s">
        <v>349</v>
      </c>
      <c r="K75" s="18" t="n">
        <v>0</v>
      </c>
      <c r="L75" s="20" t="n">
        <v>0</v>
      </c>
      <c r="M75" s="18" t="n">
        <v>0</v>
      </c>
      <c r="N75" s="20" t="n">
        <v>0</v>
      </c>
      <c r="O75" s="18" t="n">
        <v>0</v>
      </c>
      <c r="P75" s="20" t="n">
        <v>0</v>
      </c>
      <c r="Q75" s="18" t="n">
        <v>1.67942448</v>
      </c>
      <c r="R75" s="20" t="n">
        <v>0.73498915</v>
      </c>
    </row>
    <row r="76" spans="1:18">
      <c r="A76" s="15" t="s">
        <v>418</v>
      </c>
      <c r="B76" s="17" t="n">
        <v>7052</v>
      </c>
      <c r="C76" s="18">
        <f>(6195.0/B76*100)</f>
        <v/>
      </c>
      <c r="D76" s="19" t="n">
        <v>857</v>
      </c>
      <c r="E76" s="18" t="n">
        <v>22.4823951</v>
      </c>
      <c r="F76" s="20" t="n">
        <v>2.19313098</v>
      </c>
      <c r="G76" s="18" t="n">
        <v>75.41731179999999</v>
      </c>
      <c r="H76" s="20" t="n">
        <v>2.27484613</v>
      </c>
      <c r="I76" s="18" t="s">
        <v>349</v>
      </c>
      <c r="J76" s="20" t="s">
        <v>349</v>
      </c>
      <c r="K76" s="18" t="n">
        <v>0.97391388</v>
      </c>
      <c r="L76" s="20" t="n">
        <v>0.37706633</v>
      </c>
      <c r="M76" s="18" t="n">
        <v>0</v>
      </c>
      <c r="N76" s="20" t="n">
        <v>0</v>
      </c>
      <c r="O76" s="18" t="n">
        <v>0</v>
      </c>
      <c r="P76" s="20" t="n">
        <v>0</v>
      </c>
      <c r="Q76" s="18" t="n">
        <v>1.12637922</v>
      </c>
      <c r="R76" s="20" t="n">
        <v>0.3610413</v>
      </c>
    </row>
    <row r="77" spans="1:18">
      <c r="A77" s="15" t="s">
        <v>419</v>
      </c>
      <c r="B77" s="17" t="n">
        <v>2908</v>
      </c>
      <c r="C77" s="18">
        <f>(2533.0/B77*100)</f>
        <v/>
      </c>
      <c r="D77" s="19" t="n">
        <v>375</v>
      </c>
      <c r="E77" s="18" t="n">
        <v>19.53202431</v>
      </c>
      <c r="F77" s="20" t="n">
        <v>2.07163526</v>
      </c>
      <c r="G77" s="18" t="n">
        <v>75.33207862</v>
      </c>
      <c r="H77" s="20" t="n">
        <v>2.32809128</v>
      </c>
      <c r="I77" s="18" t="s">
        <v>349</v>
      </c>
      <c r="J77" s="20" t="s">
        <v>349</v>
      </c>
      <c r="K77" s="18" t="n">
        <v>0.9415508500000001</v>
      </c>
      <c r="L77" s="20" t="n">
        <v>0.64299929</v>
      </c>
      <c r="M77" s="18" t="n">
        <v>0</v>
      </c>
      <c r="N77" s="20" t="n">
        <v>0</v>
      </c>
      <c r="O77" s="18" t="n">
        <v>0</v>
      </c>
      <c r="P77" s="20" t="n">
        <v>0</v>
      </c>
      <c r="Q77" s="18" t="n">
        <v>4.19434623</v>
      </c>
      <c r="R77" s="20" t="n">
        <v>1.22373643</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14.66988411</v>
      </c>
      <c r="F81" s="20" t="n">
        <v>2.01253613</v>
      </c>
      <c r="G81" s="18" t="n">
        <v>84.28937268</v>
      </c>
      <c r="H81" s="20" t="n">
        <v>2.18230888</v>
      </c>
      <c r="I81" s="18" t="s">
        <v>349</v>
      </c>
      <c r="J81" s="20" t="s">
        <v>349</v>
      </c>
      <c r="K81" s="18" t="n">
        <v>0.31144652</v>
      </c>
      <c r="L81" s="20" t="n">
        <v>0.21882427</v>
      </c>
      <c r="M81" s="18" t="n">
        <v>0</v>
      </c>
      <c r="N81" s="20" t="n">
        <v>0</v>
      </c>
      <c r="O81" s="18" t="n">
        <v>0</v>
      </c>
      <c r="P81" s="20" t="n">
        <v>0</v>
      </c>
      <c r="Q81" s="18" t="n">
        <v>0.7292967</v>
      </c>
      <c r="R81" s="20" t="n">
        <v>0.4920629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(6483.0/B7*100)</f>
        <v/>
      </c>
      <c r="D7" s="19" t="n">
        <v>884</v>
      </c>
      <c r="E7" s="18" t="n">
        <v>64.59881769</v>
      </c>
      <c r="F7" s="20" t="n">
        <v>2.14350041</v>
      </c>
      <c r="G7" s="18" t="n">
        <v>32.96329591</v>
      </c>
      <c r="H7" s="20" t="n">
        <v>2.1014715</v>
      </c>
      <c r="I7" s="18" t="s">
        <v>349</v>
      </c>
      <c r="J7" s="20" t="s">
        <v>349</v>
      </c>
      <c r="K7" s="18" t="n">
        <v>0.47892278</v>
      </c>
      <c r="L7" s="20" t="n">
        <v>0.29564665</v>
      </c>
      <c r="M7" s="18" t="n">
        <v>0</v>
      </c>
      <c r="N7" s="20" t="n">
        <v>0</v>
      </c>
      <c r="O7" s="18" t="n">
        <v>0</v>
      </c>
      <c r="P7" s="20" t="n">
        <v>0</v>
      </c>
      <c r="Q7" s="18" t="n">
        <v>1.95896362</v>
      </c>
      <c r="R7" s="20" t="n">
        <v>0.56912061</v>
      </c>
    </row>
    <row r="8" spans="1:18">
      <c r="A8" s="15" t="s">
        <v>350</v>
      </c>
      <c r="B8" s="17" t="n">
        <v>3564</v>
      </c>
      <c r="C8" s="18">
        <f>(3099.0/B8*100)</f>
        <v/>
      </c>
      <c r="D8" s="19" t="n">
        <v>465</v>
      </c>
      <c r="E8" s="18" t="n">
        <v>68.31838243999999</v>
      </c>
      <c r="F8" s="20" t="n">
        <v>1.96921655</v>
      </c>
      <c r="G8" s="18" t="n">
        <v>30.20515167</v>
      </c>
      <c r="H8" s="20" t="n">
        <v>2.04710994</v>
      </c>
      <c r="I8" s="18" t="s">
        <v>349</v>
      </c>
      <c r="J8" s="20" t="s">
        <v>349</v>
      </c>
      <c r="K8" s="18" t="n">
        <v>0</v>
      </c>
      <c r="L8" s="20" t="n">
        <v>0</v>
      </c>
      <c r="M8" s="18" t="n">
        <v>0</v>
      </c>
      <c r="N8" s="20" t="n">
        <v>0</v>
      </c>
      <c r="O8" s="18" t="n">
        <v>0</v>
      </c>
      <c r="P8" s="20" t="n">
        <v>0</v>
      </c>
      <c r="Q8" s="18" t="n">
        <v>1.4764659</v>
      </c>
      <c r="R8" s="20" t="n">
        <v>0.5736412400000001</v>
      </c>
    </row>
    <row r="9" spans="1:18">
      <c r="A9" s="15" t="s">
        <v>351</v>
      </c>
      <c r="B9" s="17" t="n">
        <v>4899</v>
      </c>
      <c r="C9" s="18">
        <f>(4315.0/B9*100)</f>
        <v/>
      </c>
      <c r="D9" s="19" t="n">
        <v>584</v>
      </c>
      <c r="E9" s="18" t="n">
        <v>63.14428297</v>
      </c>
      <c r="F9" s="20" t="n">
        <v>2.05712396</v>
      </c>
      <c r="G9" s="18" t="n">
        <v>36.44961181</v>
      </c>
      <c r="H9" s="20" t="n">
        <v>2.10236434</v>
      </c>
      <c r="I9" s="18" t="s">
        <v>349</v>
      </c>
      <c r="J9" s="20" t="s">
        <v>349</v>
      </c>
      <c r="K9" s="18" t="n">
        <v>0</v>
      </c>
      <c r="L9" s="20" t="n">
        <v>0</v>
      </c>
      <c r="M9" s="18" t="n">
        <v>0</v>
      </c>
      <c r="N9" s="20" t="n">
        <v>0</v>
      </c>
      <c r="O9" s="18" t="n">
        <v>0</v>
      </c>
      <c r="P9" s="20" t="n">
        <v>0</v>
      </c>
      <c r="Q9" s="18" t="n">
        <v>0.40610522</v>
      </c>
      <c r="R9" s="20" t="n">
        <v>0.27030405</v>
      </c>
    </row>
    <row r="10" spans="1:18">
      <c r="A10" s="15" t="s">
        <v>352</v>
      </c>
      <c r="B10" s="17" t="n">
        <v>10036</v>
      </c>
      <c r="C10" s="18">
        <f>(8807.0/B10*100)</f>
        <v/>
      </c>
      <c r="D10" s="19" t="n">
        <v>1229</v>
      </c>
      <c r="E10" s="18" t="n">
        <v>64.4292815</v>
      </c>
      <c r="F10" s="20" t="n">
        <v>1.69359827</v>
      </c>
      <c r="G10" s="18" t="n">
        <v>34.45005998</v>
      </c>
      <c r="H10" s="20" t="n">
        <v>1.68441389</v>
      </c>
      <c r="I10" s="18" t="s">
        <v>349</v>
      </c>
      <c r="J10" s="20" t="s">
        <v>349</v>
      </c>
      <c r="K10" s="18" t="n">
        <v>0.18928109</v>
      </c>
      <c r="L10" s="20" t="n">
        <v>0.10836342</v>
      </c>
      <c r="M10" s="18" t="n">
        <v>0</v>
      </c>
      <c r="N10" s="20" t="n">
        <v>0</v>
      </c>
      <c r="O10" s="18" t="n">
        <v>0</v>
      </c>
      <c r="P10" s="20" t="n">
        <v>0</v>
      </c>
      <c r="Q10" s="18" t="n">
        <v>0.93137743</v>
      </c>
      <c r="R10" s="20" t="n">
        <v>0.39027468</v>
      </c>
    </row>
    <row r="11" spans="1:18">
      <c r="A11" s="15" t="s">
        <v>353</v>
      </c>
      <c r="B11" s="17" t="n">
        <v>3553</v>
      </c>
      <c r="C11" s="18">
        <f>(3105.0/B11*100)</f>
        <v/>
      </c>
      <c r="D11" s="19" t="n">
        <v>448</v>
      </c>
      <c r="E11" s="18" t="n">
        <v>61.96893472</v>
      </c>
      <c r="F11" s="20" t="n">
        <v>2.52903189</v>
      </c>
      <c r="G11" s="18" t="n">
        <v>32.61869717</v>
      </c>
      <c r="H11" s="20" t="n">
        <v>2.22485229</v>
      </c>
      <c r="I11" s="18" t="s">
        <v>349</v>
      </c>
      <c r="J11" s="20" t="s">
        <v>349</v>
      </c>
      <c r="K11" s="18" t="n">
        <v>0</v>
      </c>
      <c r="L11" s="20" t="n">
        <v>0</v>
      </c>
      <c r="M11" s="18" t="n">
        <v>0</v>
      </c>
      <c r="N11" s="20" t="n">
        <v>0</v>
      </c>
      <c r="O11" s="18" t="n">
        <v>0</v>
      </c>
      <c r="P11" s="20" t="n">
        <v>0</v>
      </c>
      <c r="Q11" s="18" t="n">
        <v>5.41236811</v>
      </c>
      <c r="R11" s="20" t="n">
        <v>1.32139233</v>
      </c>
    </row>
    <row r="12" spans="1:18">
      <c r="A12" s="15" t="s">
        <v>354</v>
      </c>
      <c r="B12" s="17" t="n">
        <v>3472</v>
      </c>
      <c r="C12" s="18">
        <f>(3044.0/B12*100)</f>
        <v/>
      </c>
      <c r="D12" s="19" t="n">
        <v>428</v>
      </c>
      <c r="E12" s="18" t="n">
        <v>67.41973367</v>
      </c>
      <c r="F12" s="20" t="n">
        <v>2.51310426</v>
      </c>
      <c r="G12" s="18" t="n">
        <v>31.7387079</v>
      </c>
      <c r="H12" s="20" t="n">
        <v>2.532454</v>
      </c>
      <c r="I12" s="18" t="s">
        <v>349</v>
      </c>
      <c r="J12" s="20" t="s">
        <v>349</v>
      </c>
      <c r="K12" s="18" t="n">
        <v>0.32206778</v>
      </c>
      <c r="L12" s="20" t="n">
        <v>0.52541808</v>
      </c>
      <c r="M12" s="18" t="n">
        <v>0</v>
      </c>
      <c r="N12" s="20" t="n">
        <v>0</v>
      </c>
      <c r="O12" s="18" t="n">
        <v>0</v>
      </c>
      <c r="P12" s="20" t="n">
        <v>0</v>
      </c>
      <c r="Q12" s="18" t="n">
        <v>0.51949064</v>
      </c>
      <c r="R12" s="20" t="n">
        <v>0.30838031</v>
      </c>
    </row>
    <row r="13" spans="1:18">
      <c r="A13" s="15" t="s">
        <v>355</v>
      </c>
      <c r="B13" s="17" t="n">
        <v>3559</v>
      </c>
      <c r="C13" s="18">
        <f>(3126.0/B13*100)</f>
        <v/>
      </c>
      <c r="D13" s="19" t="n">
        <v>433</v>
      </c>
      <c r="E13" s="18" t="n">
        <v>66.66427757</v>
      </c>
      <c r="F13" s="20" t="n">
        <v>2.61529097</v>
      </c>
      <c r="G13" s="18" t="n">
        <v>32.05215663</v>
      </c>
      <c r="H13" s="20" t="n">
        <v>2.56840441</v>
      </c>
      <c r="I13" s="18" t="s">
        <v>349</v>
      </c>
      <c r="J13" s="20" t="s">
        <v>349</v>
      </c>
      <c r="K13" s="18" t="n">
        <v>0.28287454</v>
      </c>
      <c r="L13" s="20" t="n">
        <v>0.25201213</v>
      </c>
      <c r="M13" s="18" t="n">
        <v>0</v>
      </c>
      <c r="N13" s="20" t="n">
        <v>0</v>
      </c>
      <c r="O13" s="18" t="n">
        <v>0</v>
      </c>
      <c r="P13" s="20" t="n">
        <v>0</v>
      </c>
      <c r="Q13" s="18" t="n">
        <v>1.00069126</v>
      </c>
      <c r="R13" s="20" t="n">
        <v>0.52349587</v>
      </c>
    </row>
    <row r="14" spans="1:18">
      <c r="A14" s="15" t="s">
        <v>356</v>
      </c>
      <c r="B14" s="17" t="n">
        <v>2799</v>
      </c>
      <c r="C14" s="18">
        <f>(2468.0/B14*100)</f>
        <v/>
      </c>
      <c r="D14" s="19" t="n">
        <v>331</v>
      </c>
      <c r="E14" s="18" t="n">
        <v>73.20982734</v>
      </c>
      <c r="F14" s="20" t="n">
        <v>2.85042558</v>
      </c>
      <c r="G14" s="18" t="n">
        <v>26.57849345</v>
      </c>
      <c r="H14" s="20" t="n">
        <v>2.85144598</v>
      </c>
      <c r="I14" s="18" t="s">
        <v>349</v>
      </c>
      <c r="J14" s="20" t="s">
        <v>349</v>
      </c>
      <c r="K14" s="18" t="n">
        <v>0</v>
      </c>
      <c r="L14" s="20" t="n">
        <v>0</v>
      </c>
      <c r="M14" s="18" t="n">
        <v>0</v>
      </c>
      <c r="N14" s="20" t="n">
        <v>0</v>
      </c>
      <c r="O14" s="18" t="n">
        <v>0</v>
      </c>
      <c r="P14" s="20" t="n">
        <v>0</v>
      </c>
      <c r="Q14" s="18" t="n">
        <v>0.21167921</v>
      </c>
      <c r="R14" s="20" t="n">
        <v>0.21255523</v>
      </c>
    </row>
    <row r="15" spans="1:18">
      <c r="A15" s="15" t="s">
        <v>357</v>
      </c>
      <c r="B15" s="17" t="n">
        <v>3019</v>
      </c>
      <c r="C15" s="18">
        <f>(2645.0/B15*100)</f>
        <v/>
      </c>
      <c r="D15" s="19" t="n">
        <v>374</v>
      </c>
      <c r="E15" s="18" t="n">
        <v>78.54092457</v>
      </c>
      <c r="F15" s="20" t="n">
        <v>2.19647403</v>
      </c>
      <c r="G15" s="18" t="n">
        <v>19.00011092</v>
      </c>
      <c r="H15" s="20" t="n">
        <v>2.03068297</v>
      </c>
      <c r="I15" s="18" t="s">
        <v>349</v>
      </c>
      <c r="J15" s="20" t="s">
        <v>349</v>
      </c>
      <c r="K15" s="18" t="n">
        <v>0</v>
      </c>
      <c r="L15" s="20" t="n">
        <v>0</v>
      </c>
      <c r="M15" s="18" t="n">
        <v>0</v>
      </c>
      <c r="N15" s="20" t="n">
        <v>0</v>
      </c>
      <c r="O15" s="18" t="n">
        <v>0</v>
      </c>
      <c r="P15" s="20" t="n">
        <v>0</v>
      </c>
      <c r="Q15" s="18" t="n">
        <v>2.45896451</v>
      </c>
      <c r="R15" s="20" t="n">
        <v>0.84069738</v>
      </c>
    </row>
    <row r="16" spans="1:18">
      <c r="A16" s="15" t="s">
        <v>358</v>
      </c>
      <c r="B16" s="17" t="n">
        <v>2997</v>
      </c>
      <c r="C16" s="18">
        <f>(2619.0/B16*100)</f>
        <v/>
      </c>
      <c r="D16" s="19" t="n">
        <v>378</v>
      </c>
      <c r="E16" s="18" t="n">
        <v>65.72892698</v>
      </c>
      <c r="F16" s="20" t="n">
        <v>2.36605306</v>
      </c>
      <c r="G16" s="18" t="n">
        <v>32.00690497</v>
      </c>
      <c r="H16" s="20" t="n">
        <v>2.39691159</v>
      </c>
      <c r="I16" s="18" t="s">
        <v>349</v>
      </c>
      <c r="J16" s="20" t="s">
        <v>349</v>
      </c>
      <c r="K16" s="18" t="n">
        <v>0.27855467</v>
      </c>
      <c r="L16" s="20" t="n">
        <v>0.28015435</v>
      </c>
      <c r="M16" s="18" t="n">
        <v>0</v>
      </c>
      <c r="N16" s="20" t="n">
        <v>0</v>
      </c>
      <c r="O16" s="18" t="n">
        <v>0</v>
      </c>
      <c r="P16" s="20" t="n">
        <v>0</v>
      </c>
      <c r="Q16" s="18" t="n">
        <v>1.98561338</v>
      </c>
      <c r="R16" s="20" t="n">
        <v>0.98407889</v>
      </c>
    </row>
    <row r="17" spans="1:18">
      <c r="A17" s="15" t="s">
        <v>359</v>
      </c>
      <c r="B17" s="17" t="n">
        <v>3307</v>
      </c>
      <c r="C17" s="18">
        <f>(2884.0/B17*100)</f>
        <v/>
      </c>
      <c r="D17" s="19" t="n">
        <v>423</v>
      </c>
      <c r="E17" s="18" t="n">
        <v>62.16108547</v>
      </c>
      <c r="F17" s="20" t="n">
        <v>2.33354854</v>
      </c>
      <c r="G17" s="18" t="n">
        <v>35.56711929</v>
      </c>
      <c r="H17" s="20" t="n">
        <v>2.40913214</v>
      </c>
      <c r="I17" s="18" t="s">
        <v>349</v>
      </c>
      <c r="J17" s="20" t="s">
        <v>349</v>
      </c>
      <c r="K17" s="18" t="n">
        <v>0</v>
      </c>
      <c r="L17" s="20" t="n">
        <v>0</v>
      </c>
      <c r="M17" s="18" t="n">
        <v>0</v>
      </c>
      <c r="N17" s="20" t="n">
        <v>0</v>
      </c>
      <c r="O17" s="18" t="n">
        <v>0</v>
      </c>
      <c r="P17" s="20" t="n">
        <v>0</v>
      </c>
      <c r="Q17" s="18" t="n">
        <v>2.27179525</v>
      </c>
      <c r="R17" s="20" t="n">
        <v>0.94139598</v>
      </c>
    </row>
    <row r="18" spans="1:18">
      <c r="A18" s="15" t="s">
        <v>360</v>
      </c>
      <c r="B18" s="17" t="n">
        <v>2826</v>
      </c>
      <c r="C18" s="18">
        <f>(2480.0/B18*100)</f>
        <v/>
      </c>
      <c r="D18" s="19" t="n">
        <v>346</v>
      </c>
      <c r="E18" s="18" t="n">
        <v>77.38831609</v>
      </c>
      <c r="F18" s="20" t="n">
        <v>2.31989266</v>
      </c>
      <c r="G18" s="18" t="n">
        <v>20.24575999</v>
      </c>
      <c r="H18" s="20" t="n">
        <v>2.27012147</v>
      </c>
      <c r="I18" s="18" t="s">
        <v>349</v>
      </c>
      <c r="J18" s="20" t="s">
        <v>349</v>
      </c>
      <c r="K18" s="18" t="n">
        <v>0</v>
      </c>
      <c r="L18" s="20" t="n">
        <v>0</v>
      </c>
      <c r="M18" s="18" t="n">
        <v>0</v>
      </c>
      <c r="N18" s="20" t="n">
        <v>0</v>
      </c>
      <c r="O18" s="18" t="n">
        <v>0</v>
      </c>
      <c r="P18" s="20" t="n">
        <v>0</v>
      </c>
      <c r="Q18" s="18" t="n">
        <v>2.36592392</v>
      </c>
      <c r="R18" s="20" t="n">
        <v>1.00705402</v>
      </c>
    </row>
    <row r="19" spans="1:18">
      <c r="A19" s="15" t="s">
        <v>361</v>
      </c>
      <c r="B19" s="17" t="n">
        <v>2808</v>
      </c>
      <c r="C19" s="18">
        <f>(2464.0/B19*100)</f>
        <v/>
      </c>
      <c r="D19" s="19" t="n">
        <v>344</v>
      </c>
      <c r="E19" s="18" t="n">
        <v>67.85962778</v>
      </c>
      <c r="F19" s="20" t="n">
        <v>2.36146183</v>
      </c>
      <c r="G19" s="18" t="n">
        <v>30.31226069</v>
      </c>
      <c r="H19" s="20" t="n">
        <v>2.26294363</v>
      </c>
      <c r="I19" s="18" t="s">
        <v>349</v>
      </c>
      <c r="J19" s="20" t="s">
        <v>349</v>
      </c>
      <c r="K19" s="18" t="n">
        <v>0.22783336</v>
      </c>
      <c r="L19" s="20" t="n">
        <v>0.2316988</v>
      </c>
      <c r="M19" s="18" t="n">
        <v>0</v>
      </c>
      <c r="N19" s="20" t="n">
        <v>0</v>
      </c>
      <c r="O19" s="18" t="n">
        <v>0</v>
      </c>
      <c r="P19" s="20" t="n">
        <v>0</v>
      </c>
      <c r="Q19" s="18" t="n">
        <v>1.60027817</v>
      </c>
      <c r="R19" s="20" t="n">
        <v>0.67407915</v>
      </c>
    </row>
    <row r="20" spans="1:18">
      <c r="A20" s="15" t="s">
        <v>362</v>
      </c>
      <c r="B20" s="17" t="n">
        <v>1630</v>
      </c>
      <c r="C20" s="18">
        <f>(1422.0/B20*100)</f>
        <v/>
      </c>
      <c r="D20" s="19" t="n">
        <v>208</v>
      </c>
      <c r="E20" s="18" t="n">
        <v>69.36732474</v>
      </c>
      <c r="F20" s="20" t="n">
        <v>3.17173922</v>
      </c>
      <c r="G20" s="18" t="n">
        <v>26.31818972</v>
      </c>
      <c r="H20" s="20" t="n">
        <v>3.13076476</v>
      </c>
      <c r="I20" s="18" t="s">
        <v>349</v>
      </c>
      <c r="J20" s="20" t="s">
        <v>349</v>
      </c>
      <c r="K20" s="18" t="n">
        <v>0.45523218</v>
      </c>
      <c r="L20" s="20" t="n">
        <v>0.45702255</v>
      </c>
      <c r="M20" s="18" t="n">
        <v>0</v>
      </c>
      <c r="N20" s="20" t="n">
        <v>0</v>
      </c>
      <c r="O20" s="18" t="n">
        <v>0</v>
      </c>
      <c r="P20" s="20" t="n">
        <v>0</v>
      </c>
      <c r="Q20" s="18" t="n">
        <v>3.85925336</v>
      </c>
      <c r="R20" s="20" t="n">
        <v>1.21309197</v>
      </c>
    </row>
    <row r="21" spans="1:18">
      <c r="A21" s="15" t="s">
        <v>363</v>
      </c>
      <c r="B21" s="17" t="n">
        <v>2908</v>
      </c>
      <c r="C21" s="18">
        <f>(2407.0/B21*100)</f>
        <v/>
      </c>
      <c r="D21" s="19" t="n">
        <v>501</v>
      </c>
      <c r="E21" s="18" t="n">
        <v>56.65762715</v>
      </c>
      <c r="F21" s="20" t="n">
        <v>2.2487767</v>
      </c>
      <c r="G21" s="18" t="n">
        <v>41.90727029</v>
      </c>
      <c r="H21" s="20" t="n">
        <v>2.27568547</v>
      </c>
      <c r="I21" s="18" t="s">
        <v>349</v>
      </c>
      <c r="J21" s="20" t="s">
        <v>349</v>
      </c>
      <c r="K21" s="18" t="n">
        <v>0.18674777</v>
      </c>
      <c r="L21" s="20" t="n">
        <v>0.1871901</v>
      </c>
      <c r="M21" s="18" t="n">
        <v>0</v>
      </c>
      <c r="N21" s="20" t="n">
        <v>0</v>
      </c>
      <c r="O21" s="18" t="n">
        <v>0</v>
      </c>
      <c r="P21" s="20" t="n">
        <v>0</v>
      </c>
      <c r="Q21" s="18" t="n">
        <v>1.24835478</v>
      </c>
      <c r="R21" s="20" t="n">
        <v>0.41196395</v>
      </c>
    </row>
    <row r="22" spans="1:18">
      <c r="A22" s="15" t="s">
        <v>364</v>
      </c>
      <c r="B22" s="17" t="n">
        <v>2931</v>
      </c>
      <c r="C22" s="18">
        <f>(2560.0/B22*100)</f>
        <v/>
      </c>
      <c r="D22" s="19" t="n">
        <v>371</v>
      </c>
      <c r="E22" s="18" t="n">
        <v>68.91882051</v>
      </c>
      <c r="F22" s="20" t="n">
        <v>2.58722429</v>
      </c>
      <c r="G22" s="18" t="n">
        <v>25.80416954</v>
      </c>
      <c r="H22" s="20" t="n">
        <v>2.4510007</v>
      </c>
      <c r="I22" s="18" t="s">
        <v>349</v>
      </c>
      <c r="J22" s="20" t="s">
        <v>349</v>
      </c>
      <c r="K22" s="18" t="n">
        <v>1.2022343</v>
      </c>
      <c r="L22" s="20" t="n">
        <v>0.6983085</v>
      </c>
      <c r="M22" s="18" t="n">
        <v>0</v>
      </c>
      <c r="N22" s="20" t="n">
        <v>0</v>
      </c>
      <c r="O22" s="18" t="n">
        <v>0</v>
      </c>
      <c r="P22" s="20" t="n">
        <v>0</v>
      </c>
      <c r="Q22" s="18" t="n">
        <v>4.07477566</v>
      </c>
      <c r="R22" s="20" t="n">
        <v>1.64205848</v>
      </c>
    </row>
    <row r="23" spans="1:18">
      <c r="A23" s="15" t="s">
        <v>365</v>
      </c>
      <c r="B23" s="17" t="n">
        <v>5791</v>
      </c>
      <c r="C23" s="18">
        <f>(5088.0/B23*100)</f>
        <v/>
      </c>
      <c r="D23" s="19" t="n">
        <v>703</v>
      </c>
      <c r="E23" s="18" t="n">
        <v>66.78610102</v>
      </c>
      <c r="F23" s="20" t="n">
        <v>2.03343792</v>
      </c>
      <c r="G23" s="18" t="n">
        <v>31.16451463</v>
      </c>
      <c r="H23" s="20" t="n">
        <v>1.94098298</v>
      </c>
      <c r="I23" s="18" t="s">
        <v>349</v>
      </c>
      <c r="J23" s="20" t="s">
        <v>349</v>
      </c>
      <c r="K23" s="18" t="n">
        <v>0.31032863</v>
      </c>
      <c r="L23" s="20" t="n">
        <v>0.30440444</v>
      </c>
      <c r="M23" s="18" t="n">
        <v>0</v>
      </c>
      <c r="N23" s="20" t="n">
        <v>0</v>
      </c>
      <c r="O23" s="18" t="n">
        <v>0</v>
      </c>
      <c r="P23" s="20" t="n">
        <v>0</v>
      </c>
      <c r="Q23" s="18" t="n">
        <v>1.73905572</v>
      </c>
      <c r="R23" s="20" t="n">
        <v>0.77647792</v>
      </c>
    </row>
    <row r="24" spans="1:18">
      <c r="A24" s="15" t="s">
        <v>366</v>
      </c>
      <c r="B24" s="17" t="n">
        <v>3338</v>
      </c>
      <c r="C24" s="18">
        <f>(2939.0/B24*100)</f>
        <v/>
      </c>
      <c r="D24" s="19" t="n">
        <v>399</v>
      </c>
      <c r="E24" s="18" t="n">
        <v>52.82599315</v>
      </c>
      <c r="F24" s="20" t="n">
        <v>2.75478811</v>
      </c>
      <c r="G24" s="18" t="n">
        <v>45.51703325</v>
      </c>
      <c r="H24" s="20" t="n">
        <v>2.78810221</v>
      </c>
      <c r="I24" s="18" t="s">
        <v>349</v>
      </c>
      <c r="J24" s="20" t="s">
        <v>349</v>
      </c>
      <c r="K24" s="18" t="n">
        <v>0.23129508</v>
      </c>
      <c r="L24" s="20" t="n">
        <v>0.23302619</v>
      </c>
      <c r="M24" s="18" t="n">
        <v>0</v>
      </c>
      <c r="N24" s="20" t="n">
        <v>0</v>
      </c>
      <c r="O24" s="18" t="n">
        <v>0</v>
      </c>
      <c r="P24" s="20" t="n">
        <v>0</v>
      </c>
      <c r="Q24" s="18" t="n">
        <v>1.42567852</v>
      </c>
      <c r="R24" s="20" t="n">
        <v>0.6538578900000001</v>
      </c>
    </row>
    <row r="25" spans="1:18">
      <c r="A25" s="15" t="s">
        <v>367</v>
      </c>
      <c r="B25" s="17" t="n">
        <v>2912</v>
      </c>
      <c r="C25" s="18">
        <f>(2558.0/B25*100)</f>
        <v/>
      </c>
      <c r="D25" s="19" t="n">
        <v>354</v>
      </c>
      <c r="E25" s="18" t="n">
        <v>57.7960789</v>
      </c>
      <c r="F25" s="20" t="n">
        <v>2.42983442</v>
      </c>
      <c r="G25" s="18" t="n">
        <v>40.22393771</v>
      </c>
      <c r="H25" s="20" t="n">
        <v>2.49846276</v>
      </c>
      <c r="I25" s="18" t="s">
        <v>349</v>
      </c>
      <c r="J25" s="20" t="s">
        <v>349</v>
      </c>
      <c r="K25" s="18" t="n">
        <v>0.29122747</v>
      </c>
      <c r="L25" s="20" t="n">
        <v>0.29417428</v>
      </c>
      <c r="M25" s="18" t="n">
        <v>0</v>
      </c>
      <c r="N25" s="20" t="n">
        <v>0</v>
      </c>
      <c r="O25" s="18" t="n">
        <v>0</v>
      </c>
      <c r="P25" s="20" t="n">
        <v>0</v>
      </c>
      <c r="Q25" s="18" t="n">
        <v>1.68875592</v>
      </c>
      <c r="R25" s="20" t="n">
        <v>0.7884064200000001</v>
      </c>
    </row>
    <row r="26" spans="1:18">
      <c r="A26" s="15" t="s">
        <v>368</v>
      </c>
      <c r="B26" s="17" t="n">
        <v>2450</v>
      </c>
      <c r="C26" s="18">
        <f>(2151.0/B26*100)</f>
        <v/>
      </c>
      <c r="D26" s="19" t="n">
        <v>299</v>
      </c>
      <c r="E26" s="18" t="n">
        <v>75.56666275000001</v>
      </c>
      <c r="F26" s="20" t="n">
        <v>2.71970806</v>
      </c>
      <c r="G26" s="18" t="n">
        <v>23.47215577</v>
      </c>
      <c r="H26" s="20" t="n">
        <v>2.74801289</v>
      </c>
      <c r="I26" s="18" t="s">
        <v>349</v>
      </c>
      <c r="J26" s="20" t="s">
        <v>349</v>
      </c>
      <c r="K26" s="18" t="n">
        <v>0</v>
      </c>
      <c r="L26" s="20" t="n">
        <v>0</v>
      </c>
      <c r="M26" s="18" t="n">
        <v>0</v>
      </c>
      <c r="N26" s="20" t="n">
        <v>0</v>
      </c>
      <c r="O26" s="18" t="n">
        <v>0</v>
      </c>
      <c r="P26" s="20" t="n">
        <v>0</v>
      </c>
      <c r="Q26" s="18" t="n">
        <v>0.96118149</v>
      </c>
      <c r="R26" s="20" t="n">
        <v>0.62422307</v>
      </c>
    </row>
    <row r="27" spans="1:18">
      <c r="A27" s="15" t="s">
        <v>369</v>
      </c>
      <c r="B27" s="17" t="n">
        <v>2616</v>
      </c>
      <c r="C27" s="18">
        <f>(2296.0/B27*100)</f>
        <v/>
      </c>
      <c r="D27" s="19" t="n">
        <v>320</v>
      </c>
      <c r="E27" s="18" t="n">
        <v>73.78697467000001</v>
      </c>
      <c r="F27" s="20" t="n">
        <v>2.3775141</v>
      </c>
      <c r="G27" s="18" t="n">
        <v>24.99013516</v>
      </c>
      <c r="H27" s="20" t="n">
        <v>2.36331838</v>
      </c>
      <c r="I27" s="18" t="s">
        <v>349</v>
      </c>
      <c r="J27" s="20" t="s">
        <v>349</v>
      </c>
      <c r="K27" s="18" t="n">
        <v>0</v>
      </c>
      <c r="L27" s="20" t="n">
        <v>0</v>
      </c>
      <c r="M27" s="18" t="n">
        <v>0</v>
      </c>
      <c r="N27" s="20" t="n">
        <v>0</v>
      </c>
      <c r="O27" s="18" t="n">
        <v>0</v>
      </c>
      <c r="P27" s="20" t="n">
        <v>0</v>
      </c>
      <c r="Q27" s="18" t="n">
        <v>1.22289017</v>
      </c>
      <c r="R27" s="20" t="n">
        <v>0.7434142</v>
      </c>
    </row>
    <row r="28" spans="1:18">
      <c r="A28" s="15" t="s">
        <v>370</v>
      </c>
      <c r="B28" s="17" t="n">
        <v>3765</v>
      </c>
      <c r="C28" s="18">
        <f>(3275.0/B28*100)</f>
        <v/>
      </c>
      <c r="D28" s="19" t="n">
        <v>490</v>
      </c>
      <c r="E28" s="18" t="n">
        <v>74.17340397</v>
      </c>
      <c r="F28" s="20" t="n">
        <v>1.98208139</v>
      </c>
      <c r="G28" s="18" t="n">
        <v>23.18294707</v>
      </c>
      <c r="H28" s="20" t="n">
        <v>1.83100176</v>
      </c>
      <c r="I28" s="18" t="s">
        <v>349</v>
      </c>
      <c r="J28" s="20" t="s">
        <v>349</v>
      </c>
      <c r="K28" s="18" t="n">
        <v>0.14952981</v>
      </c>
      <c r="L28" s="20" t="n">
        <v>0.15101114</v>
      </c>
      <c r="M28" s="18" t="n">
        <v>0</v>
      </c>
      <c r="N28" s="20" t="n">
        <v>0</v>
      </c>
      <c r="O28" s="18" t="n">
        <v>0</v>
      </c>
      <c r="P28" s="20" t="n">
        <v>0</v>
      </c>
      <c r="Q28" s="18" t="n">
        <v>2.49411915</v>
      </c>
      <c r="R28" s="20" t="n">
        <v>0.85264347</v>
      </c>
    </row>
    <row r="29" spans="1:18">
      <c r="A29" s="15" t="s">
        <v>371</v>
      </c>
      <c r="B29" s="17" t="n">
        <v>2685</v>
      </c>
      <c r="C29" s="18">
        <f>(2405.0/B29*100)</f>
        <v/>
      </c>
      <c r="D29" s="19" t="n">
        <v>280</v>
      </c>
      <c r="E29" s="18" t="n">
        <v>68.15111183</v>
      </c>
      <c r="F29" s="20" t="n">
        <v>3.16394854</v>
      </c>
      <c r="G29" s="18" t="n">
        <v>31.84888817</v>
      </c>
      <c r="H29" s="20" t="n">
        <v>3.16394854</v>
      </c>
      <c r="I29" s="18" t="s">
        <v>349</v>
      </c>
      <c r="J29" s="20" t="s">
        <v>349</v>
      </c>
      <c r="K29" s="18" t="n">
        <v>0</v>
      </c>
      <c r="L29" s="20" t="n">
        <v>0</v>
      </c>
      <c r="M29" s="18" t="n">
        <v>0</v>
      </c>
      <c r="N29" s="20" t="n">
        <v>0</v>
      </c>
      <c r="O29" s="18" t="n">
        <v>0</v>
      </c>
      <c r="P29" s="20" t="n">
        <v>0</v>
      </c>
      <c r="Q29" s="18" t="n">
        <v>0</v>
      </c>
      <c r="R29" s="20" t="n">
        <v>0</v>
      </c>
    </row>
    <row r="30" spans="1:18">
      <c r="A30" s="15" t="s">
        <v>372</v>
      </c>
      <c r="B30" s="17" t="n">
        <v>2263</v>
      </c>
      <c r="C30" s="18">
        <f>(1994.0/B30*100)</f>
        <v/>
      </c>
      <c r="D30" s="19" t="n">
        <v>269</v>
      </c>
      <c r="E30" s="18" t="n">
        <v>60.69899782</v>
      </c>
      <c r="F30" s="20" t="n">
        <v>3.32484745</v>
      </c>
      <c r="G30" s="18" t="n">
        <v>37.12220158</v>
      </c>
      <c r="H30" s="20" t="n">
        <v>3.30928943</v>
      </c>
      <c r="I30" s="18" t="s">
        <v>349</v>
      </c>
      <c r="J30" s="20" t="s">
        <v>349</v>
      </c>
      <c r="K30" s="18" t="n">
        <v>0</v>
      </c>
      <c r="L30" s="20" t="n">
        <v>0</v>
      </c>
      <c r="M30" s="18" t="n">
        <v>0</v>
      </c>
      <c r="N30" s="20" t="n">
        <v>0</v>
      </c>
      <c r="O30" s="18" t="n">
        <v>0</v>
      </c>
      <c r="P30" s="20" t="n">
        <v>0</v>
      </c>
      <c r="Q30" s="18" t="n">
        <v>2.1788006</v>
      </c>
      <c r="R30" s="20" t="n">
        <v>0.73212884</v>
      </c>
    </row>
    <row r="31" spans="1:18">
      <c r="A31" s="15" t="s">
        <v>373</v>
      </c>
      <c r="B31" s="17" t="n">
        <v>2750</v>
      </c>
      <c r="C31" s="18">
        <f>(2418.0/B31*100)</f>
        <v/>
      </c>
      <c r="D31" s="19" t="n">
        <v>332</v>
      </c>
      <c r="E31" s="18" t="n">
        <v>73.38141539</v>
      </c>
      <c r="F31" s="20" t="n">
        <v>2.21529142</v>
      </c>
      <c r="G31" s="18" t="n">
        <v>24.6416358</v>
      </c>
      <c r="H31" s="20" t="n">
        <v>2.28161403</v>
      </c>
      <c r="I31" s="18" t="s">
        <v>349</v>
      </c>
      <c r="J31" s="20" t="s">
        <v>349</v>
      </c>
      <c r="K31" s="18" t="n">
        <v>0</v>
      </c>
      <c r="L31" s="20" t="n">
        <v>0</v>
      </c>
      <c r="M31" s="18" t="n">
        <v>0</v>
      </c>
      <c r="N31" s="20" t="n">
        <v>0</v>
      </c>
      <c r="O31" s="18" t="n">
        <v>0</v>
      </c>
      <c r="P31" s="20" t="n">
        <v>0</v>
      </c>
      <c r="Q31" s="18" t="n">
        <v>1.97694881</v>
      </c>
      <c r="R31" s="20" t="n">
        <v>0.73335116</v>
      </c>
    </row>
    <row r="32" spans="1:18">
      <c r="A32" s="15" t="s">
        <v>374</v>
      </c>
      <c r="B32" s="17" t="n">
        <v>2269</v>
      </c>
      <c r="C32" s="18">
        <f>(1853.0/B32*100)</f>
        <v/>
      </c>
      <c r="D32" s="19" t="n">
        <v>416</v>
      </c>
      <c r="E32" s="18" t="n">
        <v>52.67226078</v>
      </c>
      <c r="F32" s="20" t="n">
        <v>2.15670886</v>
      </c>
      <c r="G32" s="18" t="n">
        <v>46.23082281</v>
      </c>
      <c r="H32" s="20" t="n">
        <v>2.1425142</v>
      </c>
      <c r="I32" s="18" t="s">
        <v>349</v>
      </c>
      <c r="J32" s="20" t="s">
        <v>349</v>
      </c>
      <c r="K32" s="18" t="n">
        <v>0</v>
      </c>
      <c r="L32" s="20" t="n">
        <v>0</v>
      </c>
      <c r="M32" s="18" t="n">
        <v>0</v>
      </c>
      <c r="N32" s="20" t="n">
        <v>0</v>
      </c>
      <c r="O32" s="18" t="n">
        <v>0</v>
      </c>
      <c r="P32" s="20" t="n">
        <v>0</v>
      </c>
      <c r="Q32" s="18" t="n">
        <v>1.09691641</v>
      </c>
      <c r="R32" s="20" t="n">
        <v>0.49859413</v>
      </c>
    </row>
    <row r="33" spans="1:18">
      <c r="A33" s="15" t="s">
        <v>375</v>
      </c>
      <c r="B33" s="17" t="n">
        <v>3674</v>
      </c>
      <c r="C33" s="18">
        <f>(3236.0/B33*100)</f>
        <v/>
      </c>
      <c r="D33" s="19" t="n">
        <v>438</v>
      </c>
      <c r="E33" s="18" t="n">
        <v>55.35976582</v>
      </c>
      <c r="F33" s="20" t="n">
        <v>2.65176231</v>
      </c>
      <c r="G33" s="18" t="n">
        <v>42.31860526</v>
      </c>
      <c r="H33" s="20" t="n">
        <v>2.7200866</v>
      </c>
      <c r="I33" s="18" t="s">
        <v>349</v>
      </c>
      <c r="J33" s="20" t="s">
        <v>349</v>
      </c>
      <c r="K33" s="18" t="n">
        <v>0.67946621</v>
      </c>
      <c r="L33" s="20" t="n">
        <v>0.78737528</v>
      </c>
      <c r="M33" s="18" t="n">
        <v>0</v>
      </c>
      <c r="N33" s="20" t="n">
        <v>0</v>
      </c>
      <c r="O33" s="18" t="n">
        <v>0</v>
      </c>
      <c r="P33" s="20" t="n">
        <v>0</v>
      </c>
      <c r="Q33" s="18" t="n">
        <v>1.64216271</v>
      </c>
      <c r="R33" s="20" t="n">
        <v>0.7922043600000001</v>
      </c>
    </row>
    <row r="34" spans="1:18">
      <c r="A34" s="15" t="s">
        <v>376</v>
      </c>
      <c r="B34" s="17" t="n">
        <v>3315</v>
      </c>
      <c r="C34" s="18">
        <f>(2911.0/B34*100)</f>
        <v/>
      </c>
      <c r="D34" s="19" t="n">
        <v>404</v>
      </c>
      <c r="E34" s="18" t="n">
        <v>70.58158425000001</v>
      </c>
      <c r="F34" s="20" t="n">
        <v>2.59475116</v>
      </c>
      <c r="G34" s="18" t="n">
        <v>27.02405431</v>
      </c>
      <c r="H34" s="20" t="n">
        <v>2.57766998</v>
      </c>
      <c r="I34" s="18" t="s">
        <v>349</v>
      </c>
      <c r="J34" s="20" t="s">
        <v>349</v>
      </c>
      <c r="K34" s="18" t="n">
        <v>0.20107116</v>
      </c>
      <c r="L34" s="20" t="n">
        <v>0.2004612</v>
      </c>
      <c r="M34" s="18" t="n">
        <v>0</v>
      </c>
      <c r="N34" s="20" t="n">
        <v>0</v>
      </c>
      <c r="O34" s="18" t="n">
        <v>0</v>
      </c>
      <c r="P34" s="20" t="n">
        <v>0</v>
      </c>
      <c r="Q34" s="18" t="n">
        <v>2.19329028</v>
      </c>
      <c r="R34" s="20" t="n">
        <v>0.58351943</v>
      </c>
    </row>
    <row r="35" spans="1:18">
      <c r="A35" s="15" t="s">
        <v>377</v>
      </c>
      <c r="B35" s="17" t="n">
        <v>3505</v>
      </c>
      <c r="C35" s="18">
        <f>(3090.0/B35*100)</f>
        <v/>
      </c>
      <c r="D35" s="19" t="n">
        <v>415</v>
      </c>
      <c r="E35" s="18" t="n">
        <v>52.71506588</v>
      </c>
      <c r="F35" s="20" t="n">
        <v>3.19003388</v>
      </c>
      <c r="G35" s="18" t="n">
        <v>46.13054207</v>
      </c>
      <c r="H35" s="20" t="n">
        <v>3.26679183</v>
      </c>
      <c r="I35" s="18" t="s">
        <v>349</v>
      </c>
      <c r="J35" s="20" t="s">
        <v>349</v>
      </c>
      <c r="K35" s="18" t="n">
        <v>0.12250819</v>
      </c>
      <c r="L35" s="20" t="n">
        <v>0.12272509</v>
      </c>
      <c r="M35" s="18" t="n">
        <v>0</v>
      </c>
      <c r="N35" s="20" t="n">
        <v>0</v>
      </c>
      <c r="O35" s="18" t="n">
        <v>0</v>
      </c>
      <c r="P35" s="20" t="n">
        <v>0</v>
      </c>
      <c r="Q35" s="18" t="n">
        <v>1.03188385</v>
      </c>
      <c r="R35" s="20" t="n">
        <v>0.42776919</v>
      </c>
    </row>
    <row r="36" spans="1:18">
      <c r="A36" s="15" t="s">
        <v>378</v>
      </c>
      <c r="B36" s="17" t="n">
        <v>3332</v>
      </c>
      <c r="C36" s="18">
        <f>(2922.0/B36*100)</f>
        <v/>
      </c>
      <c r="D36" s="19" t="n">
        <v>410</v>
      </c>
      <c r="E36" s="18" t="n">
        <v>67.0209067</v>
      </c>
      <c r="F36" s="20" t="n">
        <v>2.60013012</v>
      </c>
      <c r="G36" s="18" t="n">
        <v>29.55254021</v>
      </c>
      <c r="H36" s="20" t="n">
        <v>2.6801875</v>
      </c>
      <c r="I36" s="18" t="s">
        <v>349</v>
      </c>
      <c r="J36" s="20" t="s">
        <v>349</v>
      </c>
      <c r="K36" s="18" t="n">
        <v>0.494483</v>
      </c>
      <c r="L36" s="20" t="n">
        <v>0.37864561</v>
      </c>
      <c r="M36" s="18" t="n">
        <v>0</v>
      </c>
      <c r="N36" s="20" t="n">
        <v>0</v>
      </c>
      <c r="O36" s="18" t="n">
        <v>0</v>
      </c>
      <c r="P36" s="20" t="n">
        <v>0</v>
      </c>
      <c r="Q36" s="18" t="n">
        <v>2.93207009</v>
      </c>
      <c r="R36" s="20" t="n">
        <v>1.07701912</v>
      </c>
    </row>
    <row r="37" spans="1:18">
      <c r="A37" s="15" t="s">
        <v>379</v>
      </c>
      <c r="B37" s="17" t="n">
        <v>2727</v>
      </c>
      <c r="C37" s="18">
        <f>(2391.0/B37*100)</f>
        <v/>
      </c>
      <c r="D37" s="19" t="n">
        <v>336</v>
      </c>
      <c r="E37" s="18" t="n">
        <v>80.87798755</v>
      </c>
      <c r="F37" s="20" t="n">
        <v>1.90445959</v>
      </c>
      <c r="G37" s="18" t="n">
        <v>15.68347936</v>
      </c>
      <c r="H37" s="20" t="n">
        <v>1.92533508</v>
      </c>
      <c r="I37" s="18" t="s">
        <v>349</v>
      </c>
      <c r="J37" s="20" t="s">
        <v>349</v>
      </c>
      <c r="K37" s="18" t="n">
        <v>0.25494552</v>
      </c>
      <c r="L37" s="20" t="n">
        <v>0.35849615</v>
      </c>
      <c r="M37" s="18" t="n">
        <v>0</v>
      </c>
      <c r="N37" s="20" t="n">
        <v>0</v>
      </c>
      <c r="O37" s="18" t="n">
        <v>0</v>
      </c>
      <c r="P37" s="20" t="n">
        <v>0</v>
      </c>
      <c r="Q37" s="18" t="n">
        <v>3.18358758</v>
      </c>
      <c r="R37" s="20" t="n">
        <v>1.00988072</v>
      </c>
    </row>
    <row r="38" spans="1:18">
      <c r="A38" s="15" t="s">
        <v>380</v>
      </c>
      <c r="B38" s="17" t="n">
        <v>3053</v>
      </c>
      <c r="C38" s="18">
        <f>(2522.0/B38*100)</f>
        <v/>
      </c>
      <c r="D38" s="19" t="n">
        <v>531</v>
      </c>
      <c r="E38" s="18" t="n">
        <v>72.6114579</v>
      </c>
      <c r="F38" s="20" t="n">
        <v>2.052033</v>
      </c>
      <c r="G38" s="18" t="n">
        <v>25.77249543</v>
      </c>
      <c r="H38" s="20" t="n">
        <v>1.95939386</v>
      </c>
      <c r="I38" s="18" t="s">
        <v>349</v>
      </c>
      <c r="J38" s="20" t="s">
        <v>349</v>
      </c>
      <c r="K38" s="18" t="n">
        <v>0.18197733</v>
      </c>
      <c r="L38" s="20" t="n">
        <v>0.19732273</v>
      </c>
      <c r="M38" s="18" t="n">
        <v>0</v>
      </c>
      <c r="N38" s="20" t="n">
        <v>0</v>
      </c>
      <c r="O38" s="18" t="n">
        <v>0</v>
      </c>
      <c r="P38" s="20" t="n">
        <v>0</v>
      </c>
      <c r="Q38" s="18" t="n">
        <v>1.43406933</v>
      </c>
      <c r="R38" s="20" t="n">
        <v>0.53984032</v>
      </c>
    </row>
    <row r="39" spans="1:18">
      <c r="A39" s="15" t="s">
        <v>381</v>
      </c>
      <c r="B39" s="17" t="n">
        <v>2957</v>
      </c>
      <c r="C39" s="18">
        <f>(2613.0/B39*100)</f>
        <v/>
      </c>
      <c r="D39" s="19" t="n">
        <v>344</v>
      </c>
      <c r="E39" s="18" t="n">
        <v>85.69154454</v>
      </c>
      <c r="F39" s="20" t="n">
        <v>1.92685608</v>
      </c>
      <c r="G39" s="18" t="n">
        <v>13.33531399</v>
      </c>
      <c r="H39" s="20" t="n">
        <v>1.90543307</v>
      </c>
      <c r="I39" s="18" t="s">
        <v>349</v>
      </c>
      <c r="J39" s="20" t="s">
        <v>349</v>
      </c>
      <c r="K39" s="18" t="n">
        <v>0</v>
      </c>
      <c r="L39" s="20" t="n">
        <v>0</v>
      </c>
      <c r="M39" s="18" t="n">
        <v>0</v>
      </c>
      <c r="N39" s="20" t="n">
        <v>0</v>
      </c>
      <c r="O39" s="18" t="n">
        <v>0</v>
      </c>
      <c r="P39" s="20" t="n">
        <v>0</v>
      </c>
      <c r="Q39" s="18" t="n">
        <v>0.97314147</v>
      </c>
      <c r="R39" s="20" t="n">
        <v>0.12440219</v>
      </c>
    </row>
    <row r="40" spans="1:18">
      <c r="A40" s="15" t="s">
        <v>382</v>
      </c>
      <c r="B40" s="17" t="n">
        <v>7235</v>
      </c>
      <c r="C40" s="18">
        <f>(6349.0/B40*100)</f>
        <v/>
      </c>
      <c r="D40" s="19" t="n">
        <v>886</v>
      </c>
      <c r="E40" s="18" t="n">
        <v>60.44723134</v>
      </c>
      <c r="F40" s="20" t="n">
        <v>2.43993184</v>
      </c>
      <c r="G40" s="18" t="n">
        <v>38.12055309</v>
      </c>
      <c r="H40" s="20" t="n">
        <v>2.39240053</v>
      </c>
      <c r="I40" s="18" t="s">
        <v>349</v>
      </c>
      <c r="J40" s="20" t="s">
        <v>349</v>
      </c>
      <c r="K40" s="18" t="n">
        <v>0</v>
      </c>
      <c r="L40" s="20" t="n">
        <v>0</v>
      </c>
      <c r="M40" s="18" t="n">
        <v>0</v>
      </c>
      <c r="N40" s="20" t="n">
        <v>0</v>
      </c>
      <c r="O40" s="18" t="n">
        <v>0</v>
      </c>
      <c r="P40" s="20" t="n">
        <v>0</v>
      </c>
      <c r="Q40" s="18" t="n">
        <v>1.43221557</v>
      </c>
      <c r="R40" s="20" t="n">
        <v>0.54611163</v>
      </c>
    </row>
    <row r="41" spans="1:18">
      <c r="A41" s="15" t="s">
        <v>383</v>
      </c>
      <c r="B41" s="17" t="n">
        <v>2858</v>
      </c>
      <c r="C41" s="18">
        <f>(2510.0/B41*100)</f>
        <v/>
      </c>
      <c r="D41" s="19" t="n">
        <v>348</v>
      </c>
      <c r="E41" s="18" t="n">
        <v>65.90095353</v>
      </c>
      <c r="F41" s="20" t="n">
        <v>2.34389933</v>
      </c>
      <c r="G41" s="18" t="n">
        <v>31.88339521</v>
      </c>
      <c r="H41" s="20" t="n">
        <v>2.34658565</v>
      </c>
      <c r="I41" s="18" t="s">
        <v>349</v>
      </c>
      <c r="J41" s="20" t="s">
        <v>349</v>
      </c>
      <c r="K41" s="18" t="n">
        <v>0</v>
      </c>
      <c r="L41" s="20" t="n">
        <v>0</v>
      </c>
      <c r="M41" s="18" t="n">
        <v>0</v>
      </c>
      <c r="N41" s="20" t="n">
        <v>0</v>
      </c>
      <c r="O41" s="18" t="n">
        <v>0</v>
      </c>
      <c r="P41" s="20" t="n">
        <v>0</v>
      </c>
      <c r="Q41" s="18" t="n">
        <v>2.21565127</v>
      </c>
      <c r="R41" s="20" t="n">
        <v>1.13970742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(9766.0/B46*100)</f>
        <v/>
      </c>
      <c r="D46" s="19" t="n">
        <v>1302</v>
      </c>
      <c r="E46" s="18" t="n">
        <v>77.62234569</v>
      </c>
      <c r="F46" s="20" t="n">
        <v>1.53892891</v>
      </c>
      <c r="G46" s="18" t="n">
        <v>15.50885909</v>
      </c>
      <c r="H46" s="20" t="n">
        <v>1.20765647</v>
      </c>
      <c r="I46" s="18" t="s">
        <v>349</v>
      </c>
      <c r="J46" s="20" t="s">
        <v>349</v>
      </c>
      <c r="K46" s="18" t="n">
        <v>0.61008759</v>
      </c>
      <c r="L46" s="20" t="n">
        <v>0.29662049</v>
      </c>
      <c r="M46" s="18" t="n">
        <v>0</v>
      </c>
      <c r="N46" s="20" t="n">
        <v>0</v>
      </c>
      <c r="O46" s="18" t="n">
        <v>0</v>
      </c>
      <c r="P46" s="20" t="n">
        <v>0</v>
      </c>
      <c r="Q46" s="18" t="n">
        <v>6.25870763</v>
      </c>
      <c r="R46" s="20" t="n">
        <v>1.02071755</v>
      </c>
    </row>
    <row r="47" spans="1:18">
      <c r="A47" s="15" t="s">
        <v>389</v>
      </c>
      <c r="B47" s="17" t="n">
        <v>3105</v>
      </c>
      <c r="C47" s="18">
        <f>(2708.0/B47*100)</f>
        <v/>
      </c>
      <c r="D47" s="19" t="n">
        <v>397</v>
      </c>
      <c r="E47" s="18" t="n">
        <v>80.74933555</v>
      </c>
      <c r="F47" s="20" t="n">
        <v>2.13478333</v>
      </c>
      <c r="G47" s="18" t="n">
        <v>15.08609882</v>
      </c>
      <c r="H47" s="20" t="n">
        <v>2.0909079</v>
      </c>
      <c r="I47" s="18" t="s">
        <v>349</v>
      </c>
      <c r="J47" s="20" t="s">
        <v>349</v>
      </c>
      <c r="K47" s="18" t="n">
        <v>0</v>
      </c>
      <c r="L47" s="20" t="n">
        <v>0</v>
      </c>
      <c r="M47" s="18" t="n">
        <v>0</v>
      </c>
      <c r="N47" s="20" t="n">
        <v>0</v>
      </c>
      <c r="O47" s="18" t="n">
        <v>0</v>
      </c>
      <c r="P47" s="20" t="n">
        <v>0</v>
      </c>
      <c r="Q47" s="18" t="n">
        <v>4.16456564</v>
      </c>
      <c r="R47" s="20" t="n">
        <v>1.05154378</v>
      </c>
    </row>
    <row r="48" spans="1:18">
      <c r="A48" s="15" t="s">
        <v>390</v>
      </c>
      <c r="B48" s="17" t="n">
        <v>5159</v>
      </c>
      <c r="C48" s="18">
        <f>(4547.0/B48*100)</f>
        <v/>
      </c>
      <c r="D48" s="19" t="n">
        <v>612</v>
      </c>
      <c r="E48" s="18" t="n">
        <v>71.92573877</v>
      </c>
      <c r="F48" s="20" t="n">
        <v>2.44731765</v>
      </c>
      <c r="G48" s="18" t="n">
        <v>26.30292073</v>
      </c>
      <c r="H48" s="20" t="n">
        <v>2.51660839</v>
      </c>
      <c r="I48" s="18" t="s">
        <v>349</v>
      </c>
      <c r="J48" s="20" t="s">
        <v>349</v>
      </c>
      <c r="K48" s="18" t="n">
        <v>0.83887491</v>
      </c>
      <c r="L48" s="20" t="n">
        <v>0.61641934</v>
      </c>
      <c r="M48" s="18" t="n">
        <v>0</v>
      </c>
      <c r="N48" s="20" t="n">
        <v>0</v>
      </c>
      <c r="O48" s="18" t="n">
        <v>0</v>
      </c>
      <c r="P48" s="20" t="n">
        <v>0</v>
      </c>
      <c r="Q48" s="18" t="n">
        <v>0.93246558</v>
      </c>
      <c r="R48" s="20" t="n">
        <v>0.39884608</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(4938.0/B50*100)</f>
        <v/>
      </c>
      <c r="D50" s="19" t="n">
        <v>699</v>
      </c>
      <c r="E50" s="18" t="n">
        <v>81.31265206</v>
      </c>
      <c r="F50" s="20" t="n">
        <v>2.13839483</v>
      </c>
      <c r="G50" s="18" t="n">
        <v>14.53561034</v>
      </c>
      <c r="H50" s="20" t="n">
        <v>1.80099671</v>
      </c>
      <c r="I50" s="18" t="s">
        <v>349</v>
      </c>
      <c r="J50" s="20" t="s">
        <v>349</v>
      </c>
      <c r="K50" s="18" t="n">
        <v>0.92737263</v>
      </c>
      <c r="L50" s="20" t="n">
        <v>0.65242935</v>
      </c>
      <c r="M50" s="18" t="n">
        <v>0</v>
      </c>
      <c r="N50" s="20" t="n">
        <v>0</v>
      </c>
      <c r="O50" s="18" t="n">
        <v>0</v>
      </c>
      <c r="P50" s="20" t="n">
        <v>0</v>
      </c>
      <c r="Q50" s="18" t="n">
        <v>3.22436497</v>
      </c>
      <c r="R50" s="20" t="n">
        <v>1.02845946</v>
      </c>
    </row>
    <row r="51" spans="1:18">
      <c r="A51" s="15" t="s">
        <v>393</v>
      </c>
      <c r="B51" s="17" t="n">
        <v>3372</v>
      </c>
      <c r="C51" s="18">
        <f>(2994.0/B51*100)</f>
        <v/>
      </c>
      <c r="D51" s="19" t="n">
        <v>378</v>
      </c>
      <c r="E51" s="18" t="n">
        <v>81.51828603</v>
      </c>
      <c r="F51" s="20" t="n">
        <v>1.98728072</v>
      </c>
      <c r="G51" s="18" t="n">
        <v>14.85802444</v>
      </c>
      <c r="H51" s="20" t="n">
        <v>1.8535974</v>
      </c>
      <c r="I51" s="18" t="s">
        <v>349</v>
      </c>
      <c r="J51" s="20" t="s">
        <v>349</v>
      </c>
      <c r="K51" s="18" t="n">
        <v>0.04296652</v>
      </c>
      <c r="L51" s="20" t="n">
        <v>0.04313467</v>
      </c>
      <c r="M51" s="18" t="n">
        <v>0</v>
      </c>
      <c r="N51" s="20" t="n">
        <v>0</v>
      </c>
      <c r="O51" s="18" t="n">
        <v>0</v>
      </c>
      <c r="P51" s="20" t="n">
        <v>0</v>
      </c>
      <c r="Q51" s="18" t="n">
        <v>3.58072301</v>
      </c>
      <c r="R51" s="20" t="n">
        <v>0.92080084</v>
      </c>
    </row>
    <row r="52" spans="1:18">
      <c r="A52" s="15" t="s">
        <v>394</v>
      </c>
      <c r="B52" s="17" t="n">
        <v>2796</v>
      </c>
      <c r="C52" s="18">
        <f>(2457.0/B52*100)</f>
        <v/>
      </c>
      <c r="D52" s="19" t="n">
        <v>339</v>
      </c>
      <c r="E52" s="18" t="n">
        <v>63.66479777</v>
      </c>
      <c r="F52" s="20" t="n">
        <v>2.34308926</v>
      </c>
      <c r="G52" s="18" t="n">
        <v>34.57763004</v>
      </c>
      <c r="H52" s="20" t="n">
        <v>2.32738262</v>
      </c>
      <c r="I52" s="18" t="s">
        <v>349</v>
      </c>
      <c r="J52" s="20" t="s">
        <v>349</v>
      </c>
      <c r="K52" s="18" t="n">
        <v>0.54304128</v>
      </c>
      <c r="L52" s="20" t="n">
        <v>0.387552</v>
      </c>
      <c r="M52" s="18" t="n">
        <v>0</v>
      </c>
      <c r="N52" s="20" t="n">
        <v>0</v>
      </c>
      <c r="O52" s="18" t="n">
        <v>0</v>
      </c>
      <c r="P52" s="20" t="n">
        <v>0</v>
      </c>
      <c r="Q52" s="18" t="n">
        <v>1.2145309</v>
      </c>
      <c r="R52" s="20" t="n">
        <v>0.63630942</v>
      </c>
    </row>
    <row r="53" spans="1:18">
      <c r="A53" s="15" t="s">
        <v>395</v>
      </c>
      <c r="B53" s="17" t="n">
        <v>2811</v>
      </c>
      <c r="C53" s="18">
        <f>(2470.0/B53*100)</f>
        <v/>
      </c>
      <c r="D53" s="19" t="n">
        <v>341</v>
      </c>
      <c r="E53" s="18" t="n">
        <v>76.69934360000001</v>
      </c>
      <c r="F53" s="20" t="n">
        <v>2.89801355</v>
      </c>
      <c r="G53" s="18" t="n">
        <v>19.87023509</v>
      </c>
      <c r="H53" s="20" t="n">
        <v>2.70932379</v>
      </c>
      <c r="I53" s="18" t="s">
        <v>349</v>
      </c>
      <c r="J53" s="20" t="s">
        <v>349</v>
      </c>
      <c r="K53" s="18" t="n">
        <v>0.51098781</v>
      </c>
      <c r="L53" s="20" t="n">
        <v>0.36280374</v>
      </c>
      <c r="M53" s="18" t="n">
        <v>0</v>
      </c>
      <c r="N53" s="20" t="n">
        <v>0</v>
      </c>
      <c r="O53" s="18" t="n">
        <v>0</v>
      </c>
      <c r="P53" s="20" t="n">
        <v>0</v>
      </c>
      <c r="Q53" s="18" t="n">
        <v>2.9194335</v>
      </c>
      <c r="R53" s="20" t="n">
        <v>0.92878536</v>
      </c>
    </row>
    <row r="54" spans="1:18">
      <c r="A54" s="15" t="s">
        <v>396</v>
      </c>
      <c r="B54" s="17" t="n">
        <v>2266</v>
      </c>
      <c r="C54" s="18">
        <f>(1889.0/B54*100)</f>
        <v/>
      </c>
      <c r="D54" s="19" t="n">
        <v>377</v>
      </c>
      <c r="E54" s="18" t="n">
        <v>80.13578158999999</v>
      </c>
      <c r="F54" s="20" t="n">
        <v>2.74306406</v>
      </c>
      <c r="G54" s="18" t="n">
        <v>5.87464549</v>
      </c>
      <c r="H54" s="20" t="n">
        <v>1.38311339</v>
      </c>
      <c r="I54" s="18" t="s">
        <v>349</v>
      </c>
      <c r="J54" s="20" t="s">
        <v>349</v>
      </c>
      <c r="K54" s="18" t="n">
        <v>4.47941241</v>
      </c>
      <c r="L54" s="20" t="n">
        <v>1.30247875</v>
      </c>
      <c r="M54" s="18" t="n">
        <v>0</v>
      </c>
      <c r="N54" s="20" t="n">
        <v>0</v>
      </c>
      <c r="O54" s="18" t="n">
        <v>0</v>
      </c>
      <c r="P54" s="20" t="n">
        <v>0</v>
      </c>
      <c r="Q54" s="18" t="n">
        <v>9.5101605</v>
      </c>
      <c r="R54" s="20" t="n">
        <v>2.24659959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(2348.0/B56*100)</f>
        <v/>
      </c>
      <c r="D56" s="19" t="n">
        <v>336</v>
      </c>
      <c r="E56" s="18" t="n">
        <v>65.95036652</v>
      </c>
      <c r="F56" s="20" t="n">
        <v>2.92533761</v>
      </c>
      <c r="G56" s="18" t="n">
        <v>32.98314941</v>
      </c>
      <c r="H56" s="20" t="n">
        <v>2.91024301</v>
      </c>
      <c r="I56" s="18" t="s">
        <v>349</v>
      </c>
      <c r="J56" s="20" t="s">
        <v>349</v>
      </c>
      <c r="K56" s="18" t="n">
        <v>0</v>
      </c>
      <c r="L56" s="20" t="n">
        <v>0</v>
      </c>
      <c r="M56" s="18" t="n">
        <v>0</v>
      </c>
      <c r="N56" s="20" t="n">
        <v>0</v>
      </c>
      <c r="O56" s="18" t="n">
        <v>0</v>
      </c>
      <c r="P56" s="20" t="n">
        <v>0</v>
      </c>
      <c r="Q56" s="18" t="n">
        <v>1.06648406</v>
      </c>
      <c r="R56" s="20" t="n">
        <v>0.53049618</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(2923.0/B61*100)</f>
        <v/>
      </c>
      <c r="D61" s="19" t="n">
        <v>401</v>
      </c>
      <c r="E61" s="18" t="n">
        <v>77.10171138</v>
      </c>
      <c r="F61" s="20" t="n">
        <v>2.45920086</v>
      </c>
      <c r="G61" s="18" t="n">
        <v>20.32018336</v>
      </c>
      <c r="H61" s="20" t="n">
        <v>2.46767111</v>
      </c>
      <c r="I61" s="18" t="s">
        <v>349</v>
      </c>
      <c r="J61" s="20" t="s">
        <v>349</v>
      </c>
      <c r="K61" s="18" t="n">
        <v>0.37578494</v>
      </c>
      <c r="L61" s="20" t="n">
        <v>0.31238929</v>
      </c>
      <c r="M61" s="18" t="n">
        <v>0</v>
      </c>
      <c r="N61" s="20" t="n">
        <v>0</v>
      </c>
      <c r="O61" s="18" t="n">
        <v>0</v>
      </c>
      <c r="P61" s="20" t="n">
        <v>0</v>
      </c>
      <c r="Q61" s="18" t="n">
        <v>2.20232032</v>
      </c>
      <c r="R61" s="20" t="n">
        <v>0.6956453</v>
      </c>
    </row>
    <row r="62" spans="1:18">
      <c r="A62" s="15" t="s">
        <v>404</v>
      </c>
      <c r="B62" s="17" t="n">
        <v>2246</v>
      </c>
      <c r="C62" s="18">
        <f>(1957.0/B62*100)</f>
        <v/>
      </c>
      <c r="D62" s="19" t="n">
        <v>289</v>
      </c>
      <c r="E62" s="18" t="n">
        <v>71.91968666</v>
      </c>
      <c r="F62" s="20" t="n">
        <v>2.7944833</v>
      </c>
      <c r="G62" s="18" t="n">
        <v>27.38466524</v>
      </c>
      <c r="H62" s="20" t="n">
        <v>2.75212977</v>
      </c>
      <c r="I62" s="18" t="s">
        <v>349</v>
      </c>
      <c r="J62" s="20" t="s">
        <v>349</v>
      </c>
      <c r="K62" s="18" t="n">
        <v>0</v>
      </c>
      <c r="L62" s="20" t="n">
        <v>0</v>
      </c>
      <c r="M62" s="18" t="n">
        <v>0</v>
      </c>
      <c r="N62" s="20" t="n">
        <v>0</v>
      </c>
      <c r="O62" s="18" t="n">
        <v>0</v>
      </c>
      <c r="P62" s="20" t="n">
        <v>0</v>
      </c>
      <c r="Q62" s="18" t="n">
        <v>0.6956481</v>
      </c>
      <c r="R62" s="20" t="n">
        <v>0.49243627</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(2539.0/B66*100)</f>
        <v/>
      </c>
      <c r="D66" s="19" t="n">
        <v>355</v>
      </c>
      <c r="E66" s="18" t="n">
        <v>75.21117876</v>
      </c>
      <c r="F66" s="20" t="n">
        <v>2.34384879</v>
      </c>
      <c r="G66" s="18" t="n">
        <v>20.39387619</v>
      </c>
      <c r="H66" s="20" t="n">
        <v>1.9216009</v>
      </c>
      <c r="I66" s="18" t="s">
        <v>349</v>
      </c>
      <c r="J66" s="20" t="s">
        <v>349</v>
      </c>
      <c r="K66" s="18" t="n">
        <v>0.28567133</v>
      </c>
      <c r="L66" s="20" t="n">
        <v>0.28607133</v>
      </c>
      <c r="M66" s="18" t="n">
        <v>0</v>
      </c>
      <c r="N66" s="20" t="n">
        <v>0</v>
      </c>
      <c r="O66" s="18" t="n">
        <v>0</v>
      </c>
      <c r="P66" s="20" t="n">
        <v>0</v>
      </c>
      <c r="Q66" s="18" t="n">
        <v>4.10927372</v>
      </c>
      <c r="R66" s="20" t="n">
        <v>1.09317599</v>
      </c>
    </row>
    <row r="67" spans="1:18">
      <c r="A67" s="15" t="s">
        <v>409</v>
      </c>
      <c r="B67" s="17" t="n">
        <v>3511</v>
      </c>
      <c r="C67" s="18">
        <f>(3105.0/B67*100)</f>
        <v/>
      </c>
      <c r="D67" s="19" t="n">
        <v>406</v>
      </c>
      <c r="E67" s="18" t="n">
        <v>71.64798447</v>
      </c>
      <c r="F67" s="20" t="n">
        <v>2.38302772</v>
      </c>
      <c r="G67" s="18" t="n">
        <v>23.88114447</v>
      </c>
      <c r="H67" s="20" t="n">
        <v>2.3961905</v>
      </c>
      <c r="I67" s="18" t="s">
        <v>349</v>
      </c>
      <c r="J67" s="20" t="s">
        <v>349</v>
      </c>
      <c r="K67" s="18" t="n">
        <v>0</v>
      </c>
      <c r="L67" s="20" t="n">
        <v>0</v>
      </c>
      <c r="M67" s="18" t="n">
        <v>0</v>
      </c>
      <c r="N67" s="20" t="n">
        <v>0</v>
      </c>
      <c r="O67" s="18" t="n">
        <v>0</v>
      </c>
      <c r="P67" s="20" t="n">
        <v>0</v>
      </c>
      <c r="Q67" s="18" t="n">
        <v>4.47087106</v>
      </c>
      <c r="R67" s="20" t="n">
        <v>1.01926346</v>
      </c>
    </row>
    <row r="68" spans="1:18">
      <c r="A68" s="15" t="s">
        <v>410</v>
      </c>
      <c r="B68" s="17" t="n">
        <v>6049</v>
      </c>
      <c r="C68" s="18">
        <f>(5034.0/B68*100)</f>
        <v/>
      </c>
      <c r="D68" s="19" t="n">
        <v>1015</v>
      </c>
      <c r="E68" s="18" t="n">
        <v>74.05118489</v>
      </c>
      <c r="F68" s="20" t="n">
        <v>1.48735467</v>
      </c>
      <c r="G68" s="18" t="n">
        <v>21.22598596</v>
      </c>
      <c r="H68" s="20" t="n">
        <v>1.40094429</v>
      </c>
      <c r="I68" s="18" t="s">
        <v>349</v>
      </c>
      <c r="J68" s="20" t="s">
        <v>349</v>
      </c>
      <c r="K68" s="18" t="n">
        <v>0.95384153</v>
      </c>
      <c r="L68" s="20" t="n">
        <v>0.29551046</v>
      </c>
      <c r="M68" s="18" t="n">
        <v>0</v>
      </c>
      <c r="N68" s="20" t="n">
        <v>0</v>
      </c>
      <c r="O68" s="18" t="n">
        <v>0</v>
      </c>
      <c r="P68" s="20" t="n">
        <v>0</v>
      </c>
      <c r="Q68" s="18" t="n">
        <v>3.76898762</v>
      </c>
      <c r="R68" s="20" t="n">
        <v>0.64660416</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(2572.0/B70*100)</f>
        <v/>
      </c>
      <c r="D70" s="19" t="n">
        <v>357</v>
      </c>
      <c r="E70" s="18" t="n">
        <v>76.23377651</v>
      </c>
      <c r="F70" s="20" t="n">
        <v>2.54357187</v>
      </c>
      <c r="G70" s="18" t="n">
        <v>23.60932741</v>
      </c>
      <c r="H70" s="20" t="n">
        <v>2.54725215</v>
      </c>
      <c r="I70" s="18" t="s">
        <v>349</v>
      </c>
      <c r="J70" s="20" t="s">
        <v>349</v>
      </c>
      <c r="K70" s="18" t="n">
        <v>0</v>
      </c>
      <c r="L70" s="20" t="n">
        <v>0</v>
      </c>
      <c r="M70" s="18" t="n">
        <v>0</v>
      </c>
      <c r="N70" s="20" t="n">
        <v>0</v>
      </c>
      <c r="O70" s="18" t="n">
        <v>0</v>
      </c>
      <c r="P70" s="20" t="n">
        <v>0</v>
      </c>
      <c r="Q70" s="18" t="n">
        <v>0.15689608</v>
      </c>
      <c r="R70" s="20" t="n">
        <v>0.16076214</v>
      </c>
    </row>
    <row r="71" spans="1:18">
      <c r="A71" s="15" t="s">
        <v>413</v>
      </c>
      <c r="B71" s="17" t="n">
        <v>3142</v>
      </c>
      <c r="C71" s="18">
        <f>(2755.0/B71*100)</f>
        <v/>
      </c>
      <c r="D71" s="19" t="n">
        <v>387</v>
      </c>
      <c r="E71" s="18" t="n">
        <v>47.13183377</v>
      </c>
      <c r="F71" s="20" t="n">
        <v>2.70558022</v>
      </c>
      <c r="G71" s="18" t="n">
        <v>52.39088872</v>
      </c>
      <c r="H71" s="20" t="n">
        <v>2.72375546</v>
      </c>
      <c r="I71" s="18" t="s">
        <v>349</v>
      </c>
      <c r="J71" s="20" t="s">
        <v>349</v>
      </c>
      <c r="K71" s="18" t="n">
        <v>0.27329043</v>
      </c>
      <c r="L71" s="20" t="n">
        <v>0.25921558</v>
      </c>
      <c r="M71" s="18" t="n">
        <v>0</v>
      </c>
      <c r="N71" s="20" t="n">
        <v>0</v>
      </c>
      <c r="O71" s="18" t="n">
        <v>0</v>
      </c>
      <c r="P71" s="20" t="n">
        <v>0</v>
      </c>
      <c r="Q71" s="18" t="n">
        <v>0.20398708</v>
      </c>
      <c r="R71" s="20" t="n">
        <v>0.20386403</v>
      </c>
    </row>
    <row r="72" spans="1:18">
      <c r="A72" s="15" t="s">
        <v>414</v>
      </c>
      <c r="B72" s="17" t="n">
        <v>3889</v>
      </c>
      <c r="C72" s="18">
        <f>(3408.0/B72*100)</f>
        <v/>
      </c>
      <c r="D72" s="19" t="n">
        <v>481</v>
      </c>
      <c r="E72" s="18" t="n">
        <v>70.78180385</v>
      </c>
      <c r="F72" s="20" t="n">
        <v>2.07318822</v>
      </c>
      <c r="G72" s="18" t="n">
        <v>27.96664598</v>
      </c>
      <c r="H72" s="20" t="n">
        <v>2.15460423</v>
      </c>
      <c r="I72" s="18" t="s">
        <v>349</v>
      </c>
      <c r="J72" s="20" t="s">
        <v>349</v>
      </c>
      <c r="K72" s="18" t="n">
        <v>0</v>
      </c>
      <c r="L72" s="20" t="n">
        <v>0</v>
      </c>
      <c r="M72" s="18" t="n">
        <v>0</v>
      </c>
      <c r="N72" s="20" t="n">
        <v>0</v>
      </c>
      <c r="O72" s="18" t="n">
        <v>0</v>
      </c>
      <c r="P72" s="20" t="n">
        <v>0</v>
      </c>
      <c r="Q72" s="18" t="n">
        <v>1.25155017</v>
      </c>
      <c r="R72" s="20" t="n">
        <v>0.52606484</v>
      </c>
    </row>
    <row r="73" spans="1:18">
      <c r="A73" s="15" t="s">
        <v>415</v>
      </c>
      <c r="B73" s="17" t="n">
        <v>3597</v>
      </c>
      <c r="C73" s="18">
        <f>(3161.0/B73*100)</f>
        <v/>
      </c>
      <c r="D73" s="19" t="n">
        <v>436</v>
      </c>
      <c r="E73" s="18" t="n">
        <v>86.61886203</v>
      </c>
      <c r="F73" s="20" t="n">
        <v>2.29336559</v>
      </c>
      <c r="G73" s="18" t="n">
        <v>12.75697064</v>
      </c>
      <c r="H73" s="20" t="n">
        <v>2.20346714</v>
      </c>
      <c r="I73" s="18" t="s">
        <v>349</v>
      </c>
      <c r="J73" s="20" t="s">
        <v>349</v>
      </c>
      <c r="K73" s="18" t="n">
        <v>0</v>
      </c>
      <c r="L73" s="20" t="n">
        <v>0</v>
      </c>
      <c r="M73" s="18" t="n">
        <v>0</v>
      </c>
      <c r="N73" s="20" t="n">
        <v>0</v>
      </c>
      <c r="O73" s="18" t="n">
        <v>0</v>
      </c>
      <c r="P73" s="20" t="n">
        <v>0</v>
      </c>
      <c r="Q73" s="18" t="n">
        <v>0.62416733</v>
      </c>
      <c r="R73" s="20" t="n">
        <v>0.44616659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(2113.0/B75*100)</f>
        <v/>
      </c>
      <c r="D75" s="19" t="n">
        <v>293</v>
      </c>
      <c r="E75" s="18" t="n">
        <v>81.46900143000001</v>
      </c>
      <c r="F75" s="20" t="n">
        <v>2.35113416</v>
      </c>
      <c r="G75" s="18" t="n">
        <v>12.99080745</v>
      </c>
      <c r="H75" s="20" t="n">
        <v>1.79318137</v>
      </c>
      <c r="I75" s="18" t="s">
        <v>349</v>
      </c>
      <c r="J75" s="20" t="s">
        <v>349</v>
      </c>
      <c r="K75" s="18" t="n">
        <v>0</v>
      </c>
      <c r="L75" s="20" t="n">
        <v>0</v>
      </c>
      <c r="M75" s="18" t="n">
        <v>0</v>
      </c>
      <c r="N75" s="20" t="n">
        <v>0</v>
      </c>
      <c r="O75" s="18" t="n">
        <v>0</v>
      </c>
      <c r="P75" s="20" t="n">
        <v>0</v>
      </c>
      <c r="Q75" s="18" t="n">
        <v>5.54019111</v>
      </c>
      <c r="R75" s="20" t="n">
        <v>1.85241724</v>
      </c>
    </row>
    <row r="76" spans="1:18">
      <c r="A76" s="15" t="s">
        <v>418</v>
      </c>
      <c r="B76" s="17" t="n">
        <v>7052</v>
      </c>
      <c r="C76" s="18">
        <f>(6195.0/B76*100)</f>
        <v/>
      </c>
      <c r="D76" s="19" t="n">
        <v>857</v>
      </c>
      <c r="E76" s="18" t="n">
        <v>69.17861569</v>
      </c>
      <c r="F76" s="20" t="n">
        <v>1.98617863</v>
      </c>
      <c r="G76" s="18" t="n">
        <v>28.077589</v>
      </c>
      <c r="H76" s="20" t="n">
        <v>2.08616786</v>
      </c>
      <c r="I76" s="18" t="s">
        <v>349</v>
      </c>
      <c r="J76" s="20" t="s">
        <v>349</v>
      </c>
      <c r="K76" s="18" t="n">
        <v>0.97391388</v>
      </c>
      <c r="L76" s="20" t="n">
        <v>0.37706633</v>
      </c>
      <c r="M76" s="18" t="n">
        <v>0</v>
      </c>
      <c r="N76" s="20" t="n">
        <v>0</v>
      </c>
      <c r="O76" s="18" t="n">
        <v>0</v>
      </c>
      <c r="P76" s="20" t="n">
        <v>0</v>
      </c>
      <c r="Q76" s="18" t="n">
        <v>1.76988143</v>
      </c>
      <c r="R76" s="20" t="n">
        <v>0.52288338</v>
      </c>
    </row>
    <row r="77" spans="1:18">
      <c r="A77" s="15" t="s">
        <v>419</v>
      </c>
      <c r="B77" s="17" t="n">
        <v>2908</v>
      </c>
      <c r="C77" s="18">
        <f>(2533.0/B77*100)</f>
        <v/>
      </c>
      <c r="D77" s="19" t="n">
        <v>375</v>
      </c>
      <c r="E77" s="18" t="n">
        <v>83.73385113000001</v>
      </c>
      <c r="F77" s="20" t="n">
        <v>2.14838889</v>
      </c>
      <c r="G77" s="18" t="n">
        <v>8.51601876</v>
      </c>
      <c r="H77" s="20" t="n">
        <v>1.40721745</v>
      </c>
      <c r="I77" s="18" t="s">
        <v>349</v>
      </c>
      <c r="J77" s="20" t="s">
        <v>349</v>
      </c>
      <c r="K77" s="18" t="n">
        <v>1.04268112</v>
      </c>
      <c r="L77" s="20" t="n">
        <v>0.64854405</v>
      </c>
      <c r="M77" s="18" t="n">
        <v>0</v>
      </c>
      <c r="N77" s="20" t="n">
        <v>0</v>
      </c>
      <c r="O77" s="18" t="n">
        <v>0</v>
      </c>
      <c r="P77" s="20" t="n">
        <v>0</v>
      </c>
      <c r="Q77" s="18" t="n">
        <v>6.70744899</v>
      </c>
      <c r="R77" s="20" t="n">
        <v>1.50887789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82.45737595999999</v>
      </c>
      <c r="F81" s="20" t="n">
        <v>2.30048138</v>
      </c>
      <c r="G81" s="18" t="n">
        <v>16.50188082</v>
      </c>
      <c r="H81" s="20" t="n">
        <v>2.22839994</v>
      </c>
      <c r="I81" s="18" t="s">
        <v>349</v>
      </c>
      <c r="J81" s="20" t="s">
        <v>349</v>
      </c>
      <c r="K81" s="18" t="n">
        <v>0.31144652</v>
      </c>
      <c r="L81" s="20" t="n">
        <v>0.21882427</v>
      </c>
      <c r="M81" s="18" t="n">
        <v>0</v>
      </c>
      <c r="N81" s="20" t="n">
        <v>0</v>
      </c>
      <c r="O81" s="18" t="n">
        <v>0</v>
      </c>
      <c r="P81" s="20" t="n">
        <v>0</v>
      </c>
      <c r="Q81" s="18" t="n">
        <v>0.7292967</v>
      </c>
      <c r="R81" s="20" t="n">
        <v>0.4920629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(6483.0/B7*100)</f>
        <v/>
      </c>
      <c r="D7" s="19" t="n">
        <v>884</v>
      </c>
      <c r="E7" s="18" t="n">
        <v>36.18425335</v>
      </c>
      <c r="F7" s="20" t="n">
        <v>1.99249963</v>
      </c>
      <c r="G7" s="18" t="n">
        <v>62.48588674</v>
      </c>
      <c r="H7" s="20" t="n">
        <v>2.01317396</v>
      </c>
      <c r="I7" s="18" t="s">
        <v>349</v>
      </c>
      <c r="J7" s="20" t="s">
        <v>349</v>
      </c>
      <c r="K7" s="18" t="n">
        <v>0.47892278</v>
      </c>
      <c r="L7" s="20" t="n">
        <v>0.29564665</v>
      </c>
      <c r="M7" s="18" t="n">
        <v>0</v>
      </c>
      <c r="N7" s="20" t="n">
        <v>0</v>
      </c>
      <c r="O7" s="18" t="n">
        <v>0</v>
      </c>
      <c r="P7" s="20" t="n">
        <v>0</v>
      </c>
      <c r="Q7" s="18" t="n">
        <v>0.85093714</v>
      </c>
      <c r="R7" s="20" t="n">
        <v>0.40631584</v>
      </c>
    </row>
    <row r="8" spans="1:18">
      <c r="A8" s="15" t="s">
        <v>350</v>
      </c>
      <c r="B8" s="17" t="n">
        <v>3564</v>
      </c>
      <c r="C8" s="18">
        <f>(3099.0/B8*100)</f>
        <v/>
      </c>
      <c r="D8" s="19" t="n">
        <v>465</v>
      </c>
      <c r="E8" s="18" t="n">
        <v>28.15600042</v>
      </c>
      <c r="F8" s="20" t="n">
        <v>2.20588482</v>
      </c>
      <c r="G8" s="18" t="n">
        <v>71.03629933000001</v>
      </c>
      <c r="H8" s="20" t="n">
        <v>2.1918973</v>
      </c>
      <c r="I8" s="18" t="s">
        <v>349</v>
      </c>
      <c r="J8" s="20" t="s">
        <v>349</v>
      </c>
      <c r="K8" s="18" t="n">
        <v>0</v>
      </c>
      <c r="L8" s="20" t="n">
        <v>0</v>
      </c>
      <c r="M8" s="18" t="n">
        <v>0</v>
      </c>
      <c r="N8" s="20" t="n">
        <v>0</v>
      </c>
      <c r="O8" s="18" t="n">
        <v>0</v>
      </c>
      <c r="P8" s="20" t="n">
        <v>0</v>
      </c>
      <c r="Q8" s="18" t="n">
        <v>0.8077002599999999</v>
      </c>
      <c r="R8" s="20" t="n">
        <v>0.46755746</v>
      </c>
    </row>
    <row r="9" spans="1:18">
      <c r="A9" s="15" t="s">
        <v>351</v>
      </c>
      <c r="B9" s="17" t="n">
        <v>4899</v>
      </c>
      <c r="C9" s="18">
        <f>(4315.0/B9*100)</f>
        <v/>
      </c>
      <c r="D9" s="19" t="n">
        <v>584</v>
      </c>
      <c r="E9" s="18" t="n">
        <v>29.28826469</v>
      </c>
      <c r="F9" s="20" t="n">
        <v>1.77779129</v>
      </c>
      <c r="G9" s="18" t="n">
        <v>70.71173530999999</v>
      </c>
      <c r="H9" s="20" t="n">
        <v>1.77779129</v>
      </c>
      <c r="I9" s="18" t="s">
        <v>349</v>
      </c>
      <c r="J9" s="20" t="s">
        <v>349</v>
      </c>
      <c r="K9" s="18" t="n">
        <v>0</v>
      </c>
      <c r="L9" s="20" t="n">
        <v>0</v>
      </c>
      <c r="M9" s="18" t="n">
        <v>0</v>
      </c>
      <c r="N9" s="20" t="n">
        <v>0</v>
      </c>
      <c r="O9" s="18" t="n">
        <v>0</v>
      </c>
      <c r="P9" s="20" t="n">
        <v>0</v>
      </c>
      <c r="Q9" s="18" t="n">
        <v>0</v>
      </c>
      <c r="R9" s="20" t="n">
        <v>0</v>
      </c>
    </row>
    <row r="10" spans="1:18">
      <c r="A10" s="15" t="s">
        <v>352</v>
      </c>
      <c r="B10" s="17" t="n">
        <v>10036</v>
      </c>
      <c r="C10" s="18">
        <f>(8808.0/B10*100)</f>
        <v/>
      </c>
      <c r="D10" s="19" t="n">
        <v>1228</v>
      </c>
      <c r="E10" s="18" t="n">
        <v>33.51786035</v>
      </c>
      <c r="F10" s="20" t="n">
        <v>2.12893065</v>
      </c>
      <c r="G10" s="18" t="n">
        <v>66.02034358</v>
      </c>
      <c r="H10" s="20" t="n">
        <v>2.13726099</v>
      </c>
      <c r="I10" s="18" t="s">
        <v>349</v>
      </c>
      <c r="J10" s="20" t="s">
        <v>349</v>
      </c>
      <c r="K10" s="18" t="n">
        <v>0.18935358</v>
      </c>
      <c r="L10" s="20" t="n">
        <v>0.10840324</v>
      </c>
      <c r="M10" s="18" t="n">
        <v>0</v>
      </c>
      <c r="N10" s="20" t="n">
        <v>0</v>
      </c>
      <c r="O10" s="18" t="n">
        <v>0</v>
      </c>
      <c r="P10" s="20" t="n">
        <v>0</v>
      </c>
      <c r="Q10" s="18" t="n">
        <v>0.27244249</v>
      </c>
      <c r="R10" s="20" t="n">
        <v>0.15057162</v>
      </c>
    </row>
    <row r="11" spans="1:18">
      <c r="A11" s="15" t="s">
        <v>353</v>
      </c>
      <c r="B11" s="17" t="n">
        <v>3553</v>
      </c>
      <c r="C11" s="18">
        <f>(3105.0/B11*100)</f>
        <v/>
      </c>
      <c r="D11" s="19" t="n">
        <v>448</v>
      </c>
      <c r="E11" s="18" t="n">
        <v>39.6110832</v>
      </c>
      <c r="F11" s="20" t="n">
        <v>2.68230437</v>
      </c>
      <c r="G11" s="18" t="n">
        <v>59.98771474</v>
      </c>
      <c r="H11" s="20" t="n">
        <v>2.63223896</v>
      </c>
      <c r="I11" s="18" t="s">
        <v>349</v>
      </c>
      <c r="J11" s="20" t="s">
        <v>349</v>
      </c>
      <c r="K11" s="18" t="n">
        <v>0</v>
      </c>
      <c r="L11" s="20" t="n">
        <v>0</v>
      </c>
      <c r="M11" s="18" t="n">
        <v>0</v>
      </c>
      <c r="N11" s="20" t="n">
        <v>0</v>
      </c>
      <c r="O11" s="18" t="n">
        <v>0</v>
      </c>
      <c r="P11" s="20" t="n">
        <v>0</v>
      </c>
      <c r="Q11" s="18" t="n">
        <v>0.40120206</v>
      </c>
      <c r="R11" s="20" t="n">
        <v>0.30544822</v>
      </c>
    </row>
    <row r="12" spans="1:18">
      <c r="A12" s="15" t="s">
        <v>354</v>
      </c>
      <c r="B12" s="17" t="n">
        <v>3472</v>
      </c>
      <c r="C12" s="18">
        <f>(3044.0/B12*100)</f>
        <v/>
      </c>
      <c r="D12" s="19" t="n">
        <v>428</v>
      </c>
      <c r="E12" s="18" t="n">
        <v>35.66565743</v>
      </c>
      <c r="F12" s="20" t="n">
        <v>2.70177557</v>
      </c>
      <c r="G12" s="18" t="n">
        <v>63.8987741</v>
      </c>
      <c r="H12" s="20" t="n">
        <v>2.71254183</v>
      </c>
      <c r="I12" s="18" t="s">
        <v>349</v>
      </c>
      <c r="J12" s="20" t="s">
        <v>349</v>
      </c>
      <c r="K12" s="18" t="n">
        <v>0.32206778</v>
      </c>
      <c r="L12" s="20" t="n">
        <v>0.52541808</v>
      </c>
      <c r="M12" s="18" t="n">
        <v>0</v>
      </c>
      <c r="N12" s="20" t="n">
        <v>0</v>
      </c>
      <c r="O12" s="18" t="n">
        <v>0</v>
      </c>
      <c r="P12" s="20" t="n">
        <v>0</v>
      </c>
      <c r="Q12" s="18" t="n">
        <v>0.1135007</v>
      </c>
      <c r="R12" s="20" t="n">
        <v>0.1138024</v>
      </c>
    </row>
    <row r="13" spans="1:18">
      <c r="A13" s="15" t="s">
        <v>355</v>
      </c>
      <c r="B13" s="17" t="n">
        <v>3559</v>
      </c>
      <c r="C13" s="18">
        <f>(3126.0/B13*100)</f>
        <v/>
      </c>
      <c r="D13" s="19" t="n">
        <v>433</v>
      </c>
      <c r="E13" s="18" t="n">
        <v>29.73103656</v>
      </c>
      <c r="F13" s="20" t="n">
        <v>2.60230589</v>
      </c>
      <c r="G13" s="18" t="n">
        <v>69.80361757</v>
      </c>
      <c r="H13" s="20" t="n">
        <v>2.57765747</v>
      </c>
      <c r="I13" s="18" t="s">
        <v>349</v>
      </c>
      <c r="J13" s="20" t="s">
        <v>349</v>
      </c>
      <c r="K13" s="18" t="n">
        <v>0.28287454</v>
      </c>
      <c r="L13" s="20" t="n">
        <v>0.25201213</v>
      </c>
      <c r="M13" s="18" t="n">
        <v>0</v>
      </c>
      <c r="N13" s="20" t="n">
        <v>0</v>
      </c>
      <c r="O13" s="18" t="n">
        <v>0</v>
      </c>
      <c r="P13" s="20" t="n">
        <v>0</v>
      </c>
      <c r="Q13" s="18" t="n">
        <v>0.18247132</v>
      </c>
      <c r="R13" s="20" t="n">
        <v>0.14837706</v>
      </c>
    </row>
    <row r="14" spans="1:18">
      <c r="A14" s="15" t="s">
        <v>356</v>
      </c>
      <c r="B14" s="17" t="n">
        <v>2799</v>
      </c>
      <c r="C14" s="18">
        <f>(2468.0/B14*100)</f>
        <v/>
      </c>
      <c r="D14" s="19" t="n">
        <v>331</v>
      </c>
      <c r="E14" s="18" t="n">
        <v>36.89944001</v>
      </c>
      <c r="F14" s="20" t="n">
        <v>3.10163381</v>
      </c>
      <c r="G14" s="18" t="n">
        <v>63.10055999</v>
      </c>
      <c r="H14" s="20" t="n">
        <v>3.10163381</v>
      </c>
      <c r="I14" s="18" t="s">
        <v>349</v>
      </c>
      <c r="J14" s="20" t="s">
        <v>349</v>
      </c>
      <c r="K14" s="18" t="n">
        <v>0</v>
      </c>
      <c r="L14" s="20" t="n">
        <v>0</v>
      </c>
      <c r="M14" s="18" t="n">
        <v>0</v>
      </c>
      <c r="N14" s="20" t="n">
        <v>0</v>
      </c>
      <c r="O14" s="18" t="n">
        <v>0</v>
      </c>
      <c r="P14" s="20" t="n">
        <v>0</v>
      </c>
      <c r="Q14" s="18" t="n">
        <v>0</v>
      </c>
      <c r="R14" s="20" t="n">
        <v>0</v>
      </c>
    </row>
    <row r="15" spans="1:18">
      <c r="A15" s="15" t="s">
        <v>357</v>
      </c>
      <c r="B15" s="17" t="n">
        <v>3019</v>
      </c>
      <c r="C15" s="18">
        <f>(2644.0/B15*100)</f>
        <v/>
      </c>
      <c r="D15" s="19" t="n">
        <v>375</v>
      </c>
      <c r="E15" s="18" t="n">
        <v>25.61805847</v>
      </c>
      <c r="F15" s="20" t="n">
        <v>2.31495975</v>
      </c>
      <c r="G15" s="18" t="n">
        <v>73.60280179999999</v>
      </c>
      <c r="H15" s="20" t="n">
        <v>2.31419415</v>
      </c>
      <c r="I15" s="18" t="s">
        <v>349</v>
      </c>
      <c r="J15" s="20" t="s">
        <v>349</v>
      </c>
      <c r="K15" s="18" t="n">
        <v>0</v>
      </c>
      <c r="L15" s="20" t="n">
        <v>0</v>
      </c>
      <c r="M15" s="18" t="n">
        <v>0</v>
      </c>
      <c r="N15" s="20" t="n">
        <v>0</v>
      </c>
      <c r="O15" s="18" t="n">
        <v>0</v>
      </c>
      <c r="P15" s="20" t="n">
        <v>0</v>
      </c>
      <c r="Q15" s="18" t="n">
        <v>0.77913973</v>
      </c>
      <c r="R15" s="20" t="n">
        <v>0.43890225</v>
      </c>
    </row>
    <row r="16" spans="1:18">
      <c r="A16" s="15" t="s">
        <v>358</v>
      </c>
      <c r="B16" s="17" t="n">
        <v>2997</v>
      </c>
      <c r="C16" s="18">
        <f>(2619.0/B16*100)</f>
        <v/>
      </c>
      <c r="D16" s="19" t="n">
        <v>378</v>
      </c>
      <c r="E16" s="18" t="n">
        <v>28.24213896</v>
      </c>
      <c r="F16" s="20" t="n">
        <v>2.08854051</v>
      </c>
      <c r="G16" s="18" t="n">
        <v>71.21624555</v>
      </c>
      <c r="H16" s="20" t="n">
        <v>2.15930419</v>
      </c>
      <c r="I16" s="18" t="s">
        <v>349</v>
      </c>
      <c r="J16" s="20" t="s">
        <v>349</v>
      </c>
      <c r="K16" s="18" t="n">
        <v>0.27855467</v>
      </c>
      <c r="L16" s="20" t="n">
        <v>0.28015435</v>
      </c>
      <c r="M16" s="18" t="n">
        <v>0</v>
      </c>
      <c r="N16" s="20" t="n">
        <v>0</v>
      </c>
      <c r="O16" s="18" t="n">
        <v>0</v>
      </c>
      <c r="P16" s="20" t="n">
        <v>0</v>
      </c>
      <c r="Q16" s="18" t="n">
        <v>0.26306082</v>
      </c>
      <c r="R16" s="20" t="n">
        <v>0.27446338</v>
      </c>
    </row>
    <row r="17" spans="1:18">
      <c r="A17" s="15" t="s">
        <v>359</v>
      </c>
      <c r="B17" s="17" t="n">
        <v>3307</v>
      </c>
      <c r="C17" s="18">
        <f>(2884.0/B17*100)</f>
        <v/>
      </c>
      <c r="D17" s="19" t="n">
        <v>423</v>
      </c>
      <c r="E17" s="18" t="n">
        <v>30.77769154</v>
      </c>
      <c r="F17" s="20" t="n">
        <v>2.68843715</v>
      </c>
      <c r="G17" s="18" t="n">
        <v>69.22230845999999</v>
      </c>
      <c r="H17" s="20" t="n">
        <v>2.68843715</v>
      </c>
      <c r="I17" s="18" t="s">
        <v>349</v>
      </c>
      <c r="J17" s="20" t="s">
        <v>349</v>
      </c>
      <c r="K17" s="18" t="n">
        <v>0</v>
      </c>
      <c r="L17" s="20" t="n">
        <v>0</v>
      </c>
      <c r="M17" s="18" t="n">
        <v>0</v>
      </c>
      <c r="N17" s="20" t="n">
        <v>0</v>
      </c>
      <c r="O17" s="18" t="n">
        <v>0</v>
      </c>
      <c r="P17" s="20" t="n">
        <v>0</v>
      </c>
      <c r="Q17" s="18" t="n">
        <v>0</v>
      </c>
      <c r="R17" s="20" t="n">
        <v>0</v>
      </c>
    </row>
    <row r="18" spans="1:18">
      <c r="A18" s="15" t="s">
        <v>360</v>
      </c>
      <c r="B18" s="17" t="n">
        <v>2826</v>
      </c>
      <c r="C18" s="18">
        <f>(2480.0/B18*100)</f>
        <v/>
      </c>
      <c r="D18" s="19" t="n">
        <v>346</v>
      </c>
      <c r="E18" s="18" t="n">
        <v>41.80114419</v>
      </c>
      <c r="F18" s="20" t="n">
        <v>3.14889679</v>
      </c>
      <c r="G18" s="18" t="n">
        <v>57.67954336</v>
      </c>
      <c r="H18" s="20" t="n">
        <v>3.15331656</v>
      </c>
      <c r="I18" s="18" t="s">
        <v>349</v>
      </c>
      <c r="J18" s="20" t="s">
        <v>349</v>
      </c>
      <c r="K18" s="18" t="n">
        <v>0</v>
      </c>
      <c r="L18" s="20" t="n">
        <v>0</v>
      </c>
      <c r="M18" s="18" t="n">
        <v>0</v>
      </c>
      <c r="N18" s="20" t="n">
        <v>0</v>
      </c>
      <c r="O18" s="18" t="n">
        <v>0</v>
      </c>
      <c r="P18" s="20" t="n">
        <v>0</v>
      </c>
      <c r="Q18" s="18" t="n">
        <v>0.51931244</v>
      </c>
      <c r="R18" s="20" t="n">
        <v>0.51950102</v>
      </c>
    </row>
    <row r="19" spans="1:18">
      <c r="A19" s="15" t="s">
        <v>361</v>
      </c>
      <c r="B19" s="17" t="n">
        <v>2808</v>
      </c>
      <c r="C19" s="18">
        <f>(2464.0/B19*100)</f>
        <v/>
      </c>
      <c r="D19" s="19" t="n">
        <v>344</v>
      </c>
      <c r="E19" s="18" t="n">
        <v>37.69925517</v>
      </c>
      <c r="F19" s="20" t="n">
        <v>3.08722984</v>
      </c>
      <c r="G19" s="18" t="n">
        <v>61.53274963</v>
      </c>
      <c r="H19" s="20" t="n">
        <v>3.03628099</v>
      </c>
      <c r="I19" s="18" t="s">
        <v>349</v>
      </c>
      <c r="J19" s="20" t="s">
        <v>349</v>
      </c>
      <c r="K19" s="18" t="n">
        <v>0.22783336</v>
      </c>
      <c r="L19" s="20" t="n">
        <v>0.2316988</v>
      </c>
      <c r="M19" s="18" t="n">
        <v>0</v>
      </c>
      <c r="N19" s="20" t="n">
        <v>0</v>
      </c>
      <c r="O19" s="18" t="n">
        <v>0</v>
      </c>
      <c r="P19" s="20" t="n">
        <v>0</v>
      </c>
      <c r="Q19" s="18" t="n">
        <v>0.54016184</v>
      </c>
      <c r="R19" s="20" t="n">
        <v>0.36227656</v>
      </c>
    </row>
    <row r="20" spans="1:18">
      <c r="A20" s="15" t="s">
        <v>362</v>
      </c>
      <c r="B20" s="17" t="n">
        <v>1630</v>
      </c>
      <c r="C20" s="18">
        <f>(1423.0/B20*100)</f>
        <v/>
      </c>
      <c r="D20" s="19" t="n">
        <v>207</v>
      </c>
      <c r="E20" s="18" t="n">
        <v>30.85189748</v>
      </c>
      <c r="F20" s="20" t="n">
        <v>2.810257</v>
      </c>
      <c r="G20" s="18" t="n">
        <v>67.45950394</v>
      </c>
      <c r="H20" s="20" t="n">
        <v>2.93307847</v>
      </c>
      <c r="I20" s="18" t="s">
        <v>349</v>
      </c>
      <c r="J20" s="20" t="s">
        <v>349</v>
      </c>
      <c r="K20" s="18" t="n">
        <v>0.45773268</v>
      </c>
      <c r="L20" s="20" t="n">
        <v>0.45955128</v>
      </c>
      <c r="M20" s="18" t="n">
        <v>0</v>
      </c>
      <c r="N20" s="20" t="n">
        <v>0</v>
      </c>
      <c r="O20" s="18" t="n">
        <v>0</v>
      </c>
      <c r="P20" s="20" t="n">
        <v>0</v>
      </c>
      <c r="Q20" s="18" t="n">
        <v>1.23086591</v>
      </c>
      <c r="R20" s="20" t="n">
        <v>0.73492057</v>
      </c>
    </row>
    <row r="21" spans="1:18">
      <c r="A21" s="15" t="s">
        <v>363</v>
      </c>
      <c r="B21" s="17" t="n">
        <v>2908</v>
      </c>
      <c r="C21" s="18">
        <f>(2407.0/B21*100)</f>
        <v/>
      </c>
      <c r="D21" s="19" t="n">
        <v>501</v>
      </c>
      <c r="E21" s="18" t="n">
        <v>33.68047894</v>
      </c>
      <c r="F21" s="20" t="n">
        <v>2.41537645</v>
      </c>
      <c r="G21" s="18" t="n">
        <v>66.13277329</v>
      </c>
      <c r="H21" s="20" t="n">
        <v>2.40519378</v>
      </c>
      <c r="I21" s="18" t="s">
        <v>349</v>
      </c>
      <c r="J21" s="20" t="s">
        <v>349</v>
      </c>
      <c r="K21" s="18" t="n">
        <v>0.18674777</v>
      </c>
      <c r="L21" s="20" t="n">
        <v>0.1871901</v>
      </c>
      <c r="M21" s="18" t="n">
        <v>0</v>
      </c>
      <c r="N21" s="20" t="n">
        <v>0</v>
      </c>
      <c r="O21" s="18" t="n">
        <v>0</v>
      </c>
      <c r="P21" s="20" t="n">
        <v>0</v>
      </c>
      <c r="Q21" s="18" t="n">
        <v>0</v>
      </c>
      <c r="R21" s="20" t="n">
        <v>0</v>
      </c>
    </row>
    <row r="22" spans="1:18">
      <c r="A22" s="15" t="s">
        <v>364</v>
      </c>
      <c r="B22" s="17" t="n">
        <v>2931</v>
      </c>
      <c r="C22" s="18">
        <f>(2560.0/B22*100)</f>
        <v/>
      </c>
      <c r="D22" s="19" t="n">
        <v>371</v>
      </c>
      <c r="E22" s="18" t="n">
        <v>43.64585907</v>
      </c>
      <c r="F22" s="20" t="n">
        <v>2.81568322</v>
      </c>
      <c r="G22" s="18" t="n">
        <v>53.38231895</v>
      </c>
      <c r="H22" s="20" t="n">
        <v>2.67630142</v>
      </c>
      <c r="I22" s="18" t="s">
        <v>349</v>
      </c>
      <c r="J22" s="20" t="s">
        <v>349</v>
      </c>
      <c r="K22" s="18" t="n">
        <v>1.2022343</v>
      </c>
      <c r="L22" s="20" t="n">
        <v>0.6983085</v>
      </c>
      <c r="M22" s="18" t="n">
        <v>0</v>
      </c>
      <c r="N22" s="20" t="n">
        <v>0</v>
      </c>
      <c r="O22" s="18" t="n">
        <v>0</v>
      </c>
      <c r="P22" s="20" t="n">
        <v>0</v>
      </c>
      <c r="Q22" s="18" t="n">
        <v>1.76958768</v>
      </c>
      <c r="R22" s="20" t="n">
        <v>1.18669053</v>
      </c>
    </row>
    <row r="23" spans="1:18">
      <c r="A23" s="15" t="s">
        <v>365</v>
      </c>
      <c r="B23" s="17" t="n">
        <v>5791</v>
      </c>
      <c r="C23" s="18">
        <f>(5089.0/B23*100)</f>
        <v/>
      </c>
      <c r="D23" s="19" t="n">
        <v>702</v>
      </c>
      <c r="E23" s="18" t="n">
        <v>31.68168822</v>
      </c>
      <c r="F23" s="20" t="n">
        <v>2.37034781</v>
      </c>
      <c r="G23" s="18" t="n">
        <v>67.73080736999999</v>
      </c>
      <c r="H23" s="20" t="n">
        <v>2.29082554</v>
      </c>
      <c r="I23" s="18" t="s">
        <v>349</v>
      </c>
      <c r="J23" s="20" t="s">
        <v>349</v>
      </c>
      <c r="K23" s="18" t="n">
        <v>0.31164758</v>
      </c>
      <c r="L23" s="20" t="n">
        <v>0.30572311</v>
      </c>
      <c r="M23" s="18" t="n">
        <v>0</v>
      </c>
      <c r="N23" s="20" t="n">
        <v>0</v>
      </c>
      <c r="O23" s="18" t="n">
        <v>0</v>
      </c>
      <c r="P23" s="20" t="n">
        <v>0</v>
      </c>
      <c r="Q23" s="18" t="n">
        <v>0.27585683</v>
      </c>
      <c r="R23" s="20" t="n">
        <v>0.20344644</v>
      </c>
    </row>
    <row r="24" spans="1:18">
      <c r="A24" s="15" t="s">
        <v>366</v>
      </c>
      <c r="B24" s="17" t="n">
        <v>3338</v>
      </c>
      <c r="C24" s="18">
        <f>(2939.0/B24*100)</f>
        <v/>
      </c>
      <c r="D24" s="19" t="n">
        <v>399</v>
      </c>
      <c r="E24" s="18" t="n">
        <v>23.81447922</v>
      </c>
      <c r="F24" s="20" t="n">
        <v>2.29494452</v>
      </c>
      <c r="G24" s="18" t="n">
        <v>75.95422569</v>
      </c>
      <c r="H24" s="20" t="n">
        <v>2.29649069</v>
      </c>
      <c r="I24" s="18" t="s">
        <v>349</v>
      </c>
      <c r="J24" s="20" t="s">
        <v>349</v>
      </c>
      <c r="K24" s="18" t="n">
        <v>0.23129508</v>
      </c>
      <c r="L24" s="20" t="n">
        <v>0.23302619</v>
      </c>
      <c r="M24" s="18" t="n">
        <v>0</v>
      </c>
      <c r="N24" s="20" t="n">
        <v>0</v>
      </c>
      <c r="O24" s="18" t="n">
        <v>0</v>
      </c>
      <c r="P24" s="20" t="n">
        <v>0</v>
      </c>
      <c r="Q24" s="18" t="n">
        <v>0</v>
      </c>
      <c r="R24" s="20" t="n">
        <v>0</v>
      </c>
    </row>
    <row r="25" spans="1:18">
      <c r="A25" s="15" t="s">
        <v>367</v>
      </c>
      <c r="B25" s="17" t="n">
        <v>2912</v>
      </c>
      <c r="C25" s="18">
        <f>(2558.0/B25*100)</f>
        <v/>
      </c>
      <c r="D25" s="19" t="n">
        <v>354</v>
      </c>
      <c r="E25" s="18" t="n">
        <v>29.71902832</v>
      </c>
      <c r="F25" s="20" t="n">
        <v>2.49091084</v>
      </c>
      <c r="G25" s="18" t="n">
        <v>69.74097166</v>
      </c>
      <c r="H25" s="20" t="n">
        <v>2.41061509</v>
      </c>
      <c r="I25" s="18" t="s">
        <v>349</v>
      </c>
      <c r="J25" s="20" t="s">
        <v>349</v>
      </c>
      <c r="K25" s="18" t="n">
        <v>0.29122747</v>
      </c>
      <c r="L25" s="20" t="n">
        <v>0.29417428</v>
      </c>
      <c r="M25" s="18" t="n">
        <v>0</v>
      </c>
      <c r="N25" s="20" t="n">
        <v>0</v>
      </c>
      <c r="O25" s="18" t="n">
        <v>0</v>
      </c>
      <c r="P25" s="20" t="n">
        <v>0</v>
      </c>
      <c r="Q25" s="18" t="n">
        <v>0.24877255</v>
      </c>
      <c r="R25" s="20" t="n">
        <v>0.24965844</v>
      </c>
    </row>
    <row r="26" spans="1:18">
      <c r="A26" s="15" t="s">
        <v>368</v>
      </c>
      <c r="B26" s="17" t="n">
        <v>2450</v>
      </c>
      <c r="C26" s="18">
        <f>(2151.0/B26*100)</f>
        <v/>
      </c>
      <c r="D26" s="19" t="n">
        <v>299</v>
      </c>
      <c r="E26" s="18" t="n">
        <v>28.75632845</v>
      </c>
      <c r="F26" s="20" t="n">
        <v>2.80036291</v>
      </c>
      <c r="G26" s="18" t="n">
        <v>71.24367155</v>
      </c>
      <c r="H26" s="20" t="n">
        <v>2.80036291</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(2296.0/B27*100)</f>
        <v/>
      </c>
      <c r="D27" s="19" t="n">
        <v>320</v>
      </c>
      <c r="E27" s="18" t="n">
        <v>35.46058879</v>
      </c>
      <c r="F27" s="20" t="n">
        <v>2.6016366</v>
      </c>
      <c r="G27" s="18" t="n">
        <v>63.90923755</v>
      </c>
      <c r="H27" s="20" t="n">
        <v>2.56982822</v>
      </c>
      <c r="I27" s="18" t="s">
        <v>349</v>
      </c>
      <c r="J27" s="20" t="s">
        <v>349</v>
      </c>
      <c r="K27" s="18" t="n">
        <v>0</v>
      </c>
      <c r="L27" s="20" t="n">
        <v>0</v>
      </c>
      <c r="M27" s="18" t="n">
        <v>0</v>
      </c>
      <c r="N27" s="20" t="n">
        <v>0</v>
      </c>
      <c r="O27" s="18" t="n">
        <v>0</v>
      </c>
      <c r="P27" s="20" t="n">
        <v>0</v>
      </c>
      <c r="Q27" s="18" t="n">
        <v>0.63017366</v>
      </c>
      <c r="R27" s="20" t="n">
        <v>0.44611528</v>
      </c>
    </row>
    <row r="28" spans="1:18">
      <c r="A28" s="15" t="s">
        <v>370</v>
      </c>
      <c r="B28" s="17" t="n">
        <v>3765</v>
      </c>
      <c r="C28" s="18">
        <f>(3276.0/B28*100)</f>
        <v/>
      </c>
      <c r="D28" s="19" t="n">
        <v>489</v>
      </c>
      <c r="E28" s="18" t="n">
        <v>46.36702831</v>
      </c>
      <c r="F28" s="20" t="n">
        <v>2.98786537</v>
      </c>
      <c r="G28" s="18" t="n">
        <v>52.66517689</v>
      </c>
      <c r="H28" s="20" t="n">
        <v>2.99545466</v>
      </c>
      <c r="I28" s="18" t="s">
        <v>349</v>
      </c>
      <c r="J28" s="20" t="s">
        <v>349</v>
      </c>
      <c r="K28" s="18" t="n">
        <v>0.14982347</v>
      </c>
      <c r="L28" s="20" t="n">
        <v>0.15130931</v>
      </c>
      <c r="M28" s="18" t="n">
        <v>0</v>
      </c>
      <c r="N28" s="20" t="n">
        <v>0</v>
      </c>
      <c r="O28" s="18" t="n">
        <v>0</v>
      </c>
      <c r="P28" s="20" t="n">
        <v>0</v>
      </c>
      <c r="Q28" s="18" t="n">
        <v>0.8179713199999999</v>
      </c>
      <c r="R28" s="20" t="n">
        <v>0.49800987</v>
      </c>
    </row>
    <row r="29" spans="1:18">
      <c r="A29" s="15" t="s">
        <v>371</v>
      </c>
      <c r="B29" s="17" t="n">
        <v>2685</v>
      </c>
      <c r="C29" s="18">
        <f>(2405.0/B29*100)</f>
        <v/>
      </c>
      <c r="D29" s="19" t="n">
        <v>280</v>
      </c>
      <c r="E29" s="18" t="n">
        <v>33.10280619</v>
      </c>
      <c r="F29" s="20" t="n">
        <v>3.31223983</v>
      </c>
      <c r="G29" s="18" t="n">
        <v>66.57226276</v>
      </c>
      <c r="H29" s="20" t="n">
        <v>3.27466402</v>
      </c>
      <c r="I29" s="18" t="s">
        <v>349</v>
      </c>
      <c r="J29" s="20" t="s">
        <v>349</v>
      </c>
      <c r="K29" s="18" t="n">
        <v>0</v>
      </c>
      <c r="L29" s="20" t="n">
        <v>0</v>
      </c>
      <c r="M29" s="18" t="n">
        <v>0</v>
      </c>
      <c r="N29" s="20" t="n">
        <v>0</v>
      </c>
      <c r="O29" s="18" t="n">
        <v>0</v>
      </c>
      <c r="P29" s="20" t="n">
        <v>0</v>
      </c>
      <c r="Q29" s="18" t="n">
        <v>0.32493105</v>
      </c>
      <c r="R29" s="20" t="n">
        <v>0.32350624</v>
      </c>
    </row>
    <row r="30" spans="1:18">
      <c r="A30" s="15" t="s">
        <v>372</v>
      </c>
      <c r="B30" s="17" t="n">
        <v>2263</v>
      </c>
      <c r="C30" s="18">
        <f>(1993.0/B30*100)</f>
        <v/>
      </c>
      <c r="D30" s="19" t="n">
        <v>270</v>
      </c>
      <c r="E30" s="18" t="n">
        <v>40.83925768</v>
      </c>
      <c r="F30" s="20" t="n">
        <v>3.46340966</v>
      </c>
      <c r="G30" s="18" t="n">
        <v>57.78544057</v>
      </c>
      <c r="H30" s="20" t="n">
        <v>3.46406464</v>
      </c>
      <c r="I30" s="18" t="s">
        <v>349</v>
      </c>
      <c r="J30" s="20" t="s">
        <v>349</v>
      </c>
      <c r="K30" s="18" t="n">
        <v>0</v>
      </c>
      <c r="L30" s="20" t="n">
        <v>0</v>
      </c>
      <c r="M30" s="18" t="n">
        <v>0</v>
      </c>
      <c r="N30" s="20" t="n">
        <v>0</v>
      </c>
      <c r="O30" s="18" t="n">
        <v>0</v>
      </c>
      <c r="P30" s="20" t="n">
        <v>0</v>
      </c>
      <c r="Q30" s="18" t="n">
        <v>1.37530176</v>
      </c>
      <c r="R30" s="20" t="n">
        <v>0.6530538299999999</v>
      </c>
    </row>
    <row r="31" spans="1:18">
      <c r="A31" s="15" t="s">
        <v>373</v>
      </c>
      <c r="B31" s="17" t="n">
        <v>2750</v>
      </c>
      <c r="C31" s="18">
        <f>(2418.0/B31*100)</f>
        <v/>
      </c>
      <c r="D31" s="19" t="n">
        <v>332</v>
      </c>
      <c r="E31" s="18" t="n">
        <v>37.76574552</v>
      </c>
      <c r="F31" s="20" t="n">
        <v>3.13839964</v>
      </c>
      <c r="G31" s="18" t="n">
        <v>62.23425448</v>
      </c>
      <c r="H31" s="20" t="n">
        <v>3.13839964</v>
      </c>
      <c r="I31" s="18" t="s">
        <v>349</v>
      </c>
      <c r="J31" s="20" t="s">
        <v>349</v>
      </c>
      <c r="K31" s="18" t="n">
        <v>0</v>
      </c>
      <c r="L31" s="20" t="n">
        <v>0</v>
      </c>
      <c r="M31" s="18" t="n">
        <v>0</v>
      </c>
      <c r="N31" s="20" t="n">
        <v>0</v>
      </c>
      <c r="O31" s="18" t="n">
        <v>0</v>
      </c>
      <c r="P31" s="20" t="n">
        <v>0</v>
      </c>
      <c r="Q31" s="18" t="n">
        <v>0</v>
      </c>
      <c r="R31" s="20" t="n">
        <v>0</v>
      </c>
    </row>
    <row r="32" spans="1:18">
      <c r="A32" s="15" t="s">
        <v>374</v>
      </c>
      <c r="B32" s="17" t="n">
        <v>2269</v>
      </c>
      <c r="C32" s="18">
        <f>(1853.0/B32*100)</f>
        <v/>
      </c>
      <c r="D32" s="19" t="n">
        <v>416</v>
      </c>
      <c r="E32" s="18" t="n">
        <v>30.61200777</v>
      </c>
      <c r="F32" s="20" t="n">
        <v>2.34628259</v>
      </c>
      <c r="G32" s="18" t="n">
        <v>69.16104549000001</v>
      </c>
      <c r="H32" s="20" t="n">
        <v>2.35848694</v>
      </c>
      <c r="I32" s="18" t="s">
        <v>349</v>
      </c>
      <c r="J32" s="20" t="s">
        <v>349</v>
      </c>
      <c r="K32" s="18" t="n">
        <v>0</v>
      </c>
      <c r="L32" s="20" t="n">
        <v>0</v>
      </c>
      <c r="M32" s="18" t="n">
        <v>0</v>
      </c>
      <c r="N32" s="20" t="n">
        <v>0</v>
      </c>
      <c r="O32" s="18" t="n">
        <v>0</v>
      </c>
      <c r="P32" s="20" t="n">
        <v>0</v>
      </c>
      <c r="Q32" s="18" t="n">
        <v>0.22694674</v>
      </c>
      <c r="R32" s="20" t="n">
        <v>0.22916377</v>
      </c>
    </row>
    <row r="33" spans="1:18">
      <c r="A33" s="15" t="s">
        <v>375</v>
      </c>
      <c r="B33" s="17" t="n">
        <v>3674</v>
      </c>
      <c r="C33" s="18">
        <f>(3236.0/B33*100)</f>
        <v/>
      </c>
      <c r="D33" s="19" t="n">
        <v>438</v>
      </c>
      <c r="E33" s="18" t="n">
        <v>33.03170094</v>
      </c>
      <c r="F33" s="20" t="n">
        <v>3.10628626</v>
      </c>
      <c r="G33" s="18" t="n">
        <v>66.26774739</v>
      </c>
      <c r="H33" s="20" t="n">
        <v>3.11512711</v>
      </c>
      <c r="I33" s="18" t="s">
        <v>349</v>
      </c>
      <c r="J33" s="20" t="s">
        <v>349</v>
      </c>
      <c r="K33" s="18" t="n">
        <v>0.67946621</v>
      </c>
      <c r="L33" s="20" t="n">
        <v>0.78737528</v>
      </c>
      <c r="M33" s="18" t="n">
        <v>0</v>
      </c>
      <c r="N33" s="20" t="n">
        <v>0</v>
      </c>
      <c r="O33" s="18" t="n">
        <v>0</v>
      </c>
      <c r="P33" s="20" t="n">
        <v>0</v>
      </c>
      <c r="Q33" s="18" t="n">
        <v>0.02108547</v>
      </c>
      <c r="R33" s="20" t="n">
        <v>0.02115309</v>
      </c>
    </row>
    <row r="34" spans="1:18">
      <c r="A34" s="15" t="s">
        <v>376</v>
      </c>
      <c r="B34" s="17" t="n">
        <v>3315</v>
      </c>
      <c r="C34" s="18">
        <f>(2911.0/B34*100)</f>
        <v/>
      </c>
      <c r="D34" s="19" t="n">
        <v>404</v>
      </c>
      <c r="E34" s="18" t="n">
        <v>43.99719888</v>
      </c>
      <c r="F34" s="20" t="n">
        <v>2.71235622</v>
      </c>
      <c r="G34" s="18" t="n">
        <v>55.80172997</v>
      </c>
      <c r="H34" s="20" t="n">
        <v>2.70399508</v>
      </c>
      <c r="I34" s="18" t="s">
        <v>349</v>
      </c>
      <c r="J34" s="20" t="s">
        <v>349</v>
      </c>
      <c r="K34" s="18" t="n">
        <v>0.20107116</v>
      </c>
      <c r="L34" s="20" t="n">
        <v>0.2004612</v>
      </c>
      <c r="M34" s="18" t="n">
        <v>0</v>
      </c>
      <c r="N34" s="20" t="n">
        <v>0</v>
      </c>
      <c r="O34" s="18" t="n">
        <v>0</v>
      </c>
      <c r="P34" s="20" t="n">
        <v>0</v>
      </c>
      <c r="Q34" s="18" t="n">
        <v>0</v>
      </c>
      <c r="R34" s="20" t="n">
        <v>0</v>
      </c>
    </row>
    <row r="35" spans="1:18">
      <c r="A35" s="15" t="s">
        <v>377</v>
      </c>
      <c r="B35" s="17" t="n">
        <v>3505</v>
      </c>
      <c r="C35" s="18">
        <f>(3090.0/B35*100)</f>
        <v/>
      </c>
      <c r="D35" s="19" t="n">
        <v>415</v>
      </c>
      <c r="E35" s="18" t="n">
        <v>32.96108586</v>
      </c>
      <c r="F35" s="20" t="n">
        <v>2.69659311</v>
      </c>
      <c r="G35" s="18" t="n">
        <v>66.56166377</v>
      </c>
      <c r="H35" s="20" t="n">
        <v>2.67315099</v>
      </c>
      <c r="I35" s="18" t="s">
        <v>349</v>
      </c>
      <c r="J35" s="20" t="s">
        <v>349</v>
      </c>
      <c r="K35" s="18" t="n">
        <v>0.12250819</v>
      </c>
      <c r="L35" s="20" t="n">
        <v>0.12272509</v>
      </c>
      <c r="M35" s="18" t="n">
        <v>0</v>
      </c>
      <c r="N35" s="20" t="n">
        <v>0</v>
      </c>
      <c r="O35" s="18" t="n">
        <v>0</v>
      </c>
      <c r="P35" s="20" t="n">
        <v>0</v>
      </c>
      <c r="Q35" s="18" t="n">
        <v>0.35474218</v>
      </c>
      <c r="R35" s="20" t="n">
        <v>0.26112382</v>
      </c>
    </row>
    <row r="36" spans="1:18">
      <c r="A36" s="15" t="s">
        <v>378</v>
      </c>
      <c r="B36" s="17" t="n">
        <v>3332</v>
      </c>
      <c r="C36" s="18">
        <f>(2922.0/B36*100)</f>
        <v/>
      </c>
      <c r="D36" s="19" t="n">
        <v>410</v>
      </c>
      <c r="E36" s="18" t="n">
        <v>30.2391756</v>
      </c>
      <c r="F36" s="20" t="n">
        <v>2.67807975</v>
      </c>
      <c r="G36" s="18" t="n">
        <v>68.15037115</v>
      </c>
      <c r="H36" s="20" t="n">
        <v>2.65426993</v>
      </c>
      <c r="I36" s="18" t="s">
        <v>349</v>
      </c>
      <c r="J36" s="20" t="s">
        <v>349</v>
      </c>
      <c r="K36" s="18" t="n">
        <v>0.494483</v>
      </c>
      <c r="L36" s="20" t="n">
        <v>0.37864561</v>
      </c>
      <c r="M36" s="18" t="n">
        <v>0</v>
      </c>
      <c r="N36" s="20" t="n">
        <v>0</v>
      </c>
      <c r="O36" s="18" t="n">
        <v>0</v>
      </c>
      <c r="P36" s="20" t="n">
        <v>0</v>
      </c>
      <c r="Q36" s="18" t="n">
        <v>1.11597025</v>
      </c>
      <c r="R36" s="20" t="n">
        <v>0.55765969</v>
      </c>
    </row>
    <row r="37" spans="1:18">
      <c r="A37" s="15" t="s">
        <v>379</v>
      </c>
      <c r="B37" s="17" t="n">
        <v>2727</v>
      </c>
      <c r="C37" s="18">
        <f>(2391.0/B37*100)</f>
        <v/>
      </c>
      <c r="D37" s="19" t="n">
        <v>336</v>
      </c>
      <c r="E37" s="18" t="n">
        <v>30.50960466</v>
      </c>
      <c r="F37" s="20" t="n">
        <v>2.58444339</v>
      </c>
      <c r="G37" s="18" t="n">
        <v>68.41038512999999</v>
      </c>
      <c r="H37" s="20" t="n">
        <v>2.58938358</v>
      </c>
      <c r="I37" s="18" t="s">
        <v>349</v>
      </c>
      <c r="J37" s="20" t="s">
        <v>349</v>
      </c>
      <c r="K37" s="18" t="n">
        <v>0.25494552</v>
      </c>
      <c r="L37" s="20" t="n">
        <v>0.35849615</v>
      </c>
      <c r="M37" s="18" t="n">
        <v>0</v>
      </c>
      <c r="N37" s="20" t="n">
        <v>0</v>
      </c>
      <c r="O37" s="18" t="n">
        <v>0</v>
      </c>
      <c r="P37" s="20" t="n">
        <v>0</v>
      </c>
      <c r="Q37" s="18" t="n">
        <v>0.82506468</v>
      </c>
      <c r="R37" s="20" t="n">
        <v>0.46940964</v>
      </c>
    </row>
    <row r="38" spans="1:18">
      <c r="A38" s="15" t="s">
        <v>380</v>
      </c>
      <c r="B38" s="17" t="n">
        <v>3053</v>
      </c>
      <c r="C38" s="18">
        <f>(2522.0/B38*100)</f>
        <v/>
      </c>
      <c r="D38" s="19" t="n">
        <v>531</v>
      </c>
      <c r="E38" s="18" t="n">
        <v>29.69353274</v>
      </c>
      <c r="F38" s="20" t="n">
        <v>2.30689664</v>
      </c>
      <c r="G38" s="18" t="n">
        <v>69.62302595</v>
      </c>
      <c r="H38" s="20" t="n">
        <v>2.41994225</v>
      </c>
      <c r="I38" s="18" t="s">
        <v>349</v>
      </c>
      <c r="J38" s="20" t="s">
        <v>349</v>
      </c>
      <c r="K38" s="18" t="n">
        <v>0.18197733</v>
      </c>
      <c r="L38" s="20" t="n">
        <v>0.19732273</v>
      </c>
      <c r="M38" s="18" t="n">
        <v>0</v>
      </c>
      <c r="N38" s="20" t="n">
        <v>0</v>
      </c>
      <c r="O38" s="18" t="n">
        <v>0</v>
      </c>
      <c r="P38" s="20" t="n">
        <v>0</v>
      </c>
      <c r="Q38" s="18" t="n">
        <v>0.50146398</v>
      </c>
      <c r="R38" s="20" t="n">
        <v>0.35626367</v>
      </c>
    </row>
    <row r="39" spans="1:18">
      <c r="A39" s="15" t="s">
        <v>381</v>
      </c>
      <c r="B39" s="17" t="n">
        <v>2957</v>
      </c>
      <c r="C39" s="18">
        <f>(2613.0/B39*100)</f>
        <v/>
      </c>
      <c r="D39" s="19" t="n">
        <v>344</v>
      </c>
      <c r="E39" s="18" t="n">
        <v>39.70851993</v>
      </c>
      <c r="F39" s="20" t="n">
        <v>3.61435939</v>
      </c>
      <c r="G39" s="18" t="n">
        <v>60.06614768</v>
      </c>
      <c r="H39" s="20" t="n">
        <v>3.6411204</v>
      </c>
      <c r="I39" s="18" t="s">
        <v>349</v>
      </c>
      <c r="J39" s="20" t="s">
        <v>349</v>
      </c>
      <c r="K39" s="18" t="n">
        <v>0</v>
      </c>
      <c r="L39" s="20" t="n">
        <v>0</v>
      </c>
      <c r="M39" s="18" t="n">
        <v>0</v>
      </c>
      <c r="N39" s="20" t="n">
        <v>0</v>
      </c>
      <c r="O39" s="18" t="n">
        <v>0</v>
      </c>
      <c r="P39" s="20" t="n">
        <v>0</v>
      </c>
      <c r="Q39" s="18" t="n">
        <v>0.22533239</v>
      </c>
      <c r="R39" s="20" t="n">
        <v>0.22673349</v>
      </c>
    </row>
    <row r="40" spans="1:18">
      <c r="A40" s="15" t="s">
        <v>382</v>
      </c>
      <c r="B40" s="17" t="n">
        <v>7235</v>
      </c>
      <c r="C40" s="18">
        <f>(6349.0/B40*100)</f>
        <v/>
      </c>
      <c r="D40" s="19" t="n">
        <v>886</v>
      </c>
      <c r="E40" s="18" t="n">
        <v>38.541629</v>
      </c>
      <c r="F40" s="20" t="n">
        <v>2.66333877</v>
      </c>
      <c r="G40" s="18" t="n">
        <v>60.44292133</v>
      </c>
      <c r="H40" s="20" t="n">
        <v>2.75261364</v>
      </c>
      <c r="I40" s="18" t="s">
        <v>349</v>
      </c>
      <c r="J40" s="20" t="s">
        <v>349</v>
      </c>
      <c r="K40" s="18" t="n">
        <v>0</v>
      </c>
      <c r="L40" s="20" t="n">
        <v>0</v>
      </c>
      <c r="M40" s="18" t="n">
        <v>0</v>
      </c>
      <c r="N40" s="20" t="n">
        <v>0</v>
      </c>
      <c r="O40" s="18" t="n">
        <v>0</v>
      </c>
      <c r="P40" s="20" t="n">
        <v>0</v>
      </c>
      <c r="Q40" s="18" t="n">
        <v>1.01544967</v>
      </c>
      <c r="R40" s="20" t="n">
        <v>0.56137779</v>
      </c>
    </row>
    <row r="41" spans="1:18">
      <c r="A41" s="15" t="s">
        <v>383</v>
      </c>
      <c r="B41" s="17" t="n">
        <v>2858</v>
      </c>
      <c r="C41" s="18">
        <f>(2510.0/B41*100)</f>
        <v/>
      </c>
      <c r="D41" s="19" t="n">
        <v>348</v>
      </c>
      <c r="E41" s="18" t="n">
        <v>40.88870896</v>
      </c>
      <c r="F41" s="20" t="n">
        <v>2.92846597</v>
      </c>
      <c r="G41" s="18" t="n">
        <v>59.11129104</v>
      </c>
      <c r="H41" s="20" t="n">
        <v>2.92846597</v>
      </c>
      <c r="I41" s="18" t="s">
        <v>349</v>
      </c>
      <c r="J41" s="20" t="s">
        <v>349</v>
      </c>
      <c r="K41" s="18" t="n">
        <v>0</v>
      </c>
      <c r="L41" s="20" t="n">
        <v>0</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(9773.0/B46*100)</f>
        <v/>
      </c>
      <c r="D46" s="19" t="n">
        <v>1295</v>
      </c>
      <c r="E46" s="18" t="n">
        <v>52.63477657</v>
      </c>
      <c r="F46" s="20" t="n">
        <v>1.82240104</v>
      </c>
      <c r="G46" s="18" t="n">
        <v>44.67770622</v>
      </c>
      <c r="H46" s="20" t="n">
        <v>1.83656041</v>
      </c>
      <c r="I46" s="18" t="s">
        <v>349</v>
      </c>
      <c r="J46" s="20" t="s">
        <v>349</v>
      </c>
      <c r="K46" s="18" t="n">
        <v>0.61204699</v>
      </c>
      <c r="L46" s="20" t="n">
        <v>0.29763426</v>
      </c>
      <c r="M46" s="18" t="n">
        <v>0</v>
      </c>
      <c r="N46" s="20" t="n">
        <v>0</v>
      </c>
      <c r="O46" s="18" t="n">
        <v>0</v>
      </c>
      <c r="P46" s="20" t="n">
        <v>0</v>
      </c>
      <c r="Q46" s="18" t="n">
        <v>2.07547023</v>
      </c>
      <c r="R46" s="20" t="n">
        <v>0.57070469</v>
      </c>
    </row>
    <row r="47" spans="1:18">
      <c r="A47" s="15" t="s">
        <v>389</v>
      </c>
      <c r="B47" s="17" t="n">
        <v>3105</v>
      </c>
      <c r="C47" s="18">
        <f>(2709.0/B47*100)</f>
        <v/>
      </c>
      <c r="D47" s="19" t="n">
        <v>396</v>
      </c>
      <c r="E47" s="18" t="n">
        <v>37.03121197</v>
      </c>
      <c r="F47" s="20" t="n">
        <v>2.34307911</v>
      </c>
      <c r="G47" s="18" t="n">
        <v>61.95848847</v>
      </c>
      <c r="H47" s="20" t="n">
        <v>2.32760593</v>
      </c>
      <c r="I47" s="18" t="s">
        <v>349</v>
      </c>
      <c r="J47" s="20" t="s">
        <v>349</v>
      </c>
      <c r="K47" s="18" t="n">
        <v>0</v>
      </c>
      <c r="L47" s="20" t="n">
        <v>0</v>
      </c>
      <c r="M47" s="18" t="n">
        <v>0</v>
      </c>
      <c r="N47" s="20" t="n">
        <v>0</v>
      </c>
      <c r="O47" s="18" t="n">
        <v>0</v>
      </c>
      <c r="P47" s="20" t="n">
        <v>0</v>
      </c>
      <c r="Q47" s="18" t="n">
        <v>1.01029955</v>
      </c>
      <c r="R47" s="20" t="n">
        <v>0.55958516</v>
      </c>
    </row>
    <row r="48" spans="1:18">
      <c r="A48" s="15" t="s">
        <v>390</v>
      </c>
      <c r="B48" s="17" t="n">
        <v>5159</v>
      </c>
      <c r="C48" s="18">
        <f>(4547.0/B48*100)</f>
        <v/>
      </c>
      <c r="D48" s="19" t="n">
        <v>612</v>
      </c>
      <c r="E48" s="18" t="n">
        <v>28.95023754</v>
      </c>
      <c r="F48" s="20" t="n">
        <v>2.16121988</v>
      </c>
      <c r="G48" s="18" t="n">
        <v>70.00143041</v>
      </c>
      <c r="H48" s="20" t="n">
        <v>2.25864699</v>
      </c>
      <c r="I48" s="18" t="s">
        <v>349</v>
      </c>
      <c r="J48" s="20" t="s">
        <v>349</v>
      </c>
      <c r="K48" s="18" t="n">
        <v>0.83887491</v>
      </c>
      <c r="L48" s="20" t="n">
        <v>0.61641934</v>
      </c>
      <c r="M48" s="18" t="n">
        <v>0</v>
      </c>
      <c r="N48" s="20" t="n">
        <v>0</v>
      </c>
      <c r="O48" s="18" t="n">
        <v>0</v>
      </c>
      <c r="P48" s="20" t="n">
        <v>0</v>
      </c>
      <c r="Q48" s="18" t="n">
        <v>0.20945714</v>
      </c>
      <c r="R48" s="20" t="n">
        <v>0.20904191</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(4939.0/B50*100)</f>
        <v/>
      </c>
      <c r="D50" s="19" t="n">
        <v>698</v>
      </c>
      <c r="E50" s="18" t="n">
        <v>45.9033436</v>
      </c>
      <c r="F50" s="20" t="n">
        <v>2.64406188</v>
      </c>
      <c r="G50" s="18" t="n">
        <v>53.00029498</v>
      </c>
      <c r="H50" s="20" t="n">
        <v>2.58496123</v>
      </c>
      <c r="I50" s="18" t="s">
        <v>349</v>
      </c>
      <c r="J50" s="20" t="s">
        <v>349</v>
      </c>
      <c r="K50" s="18" t="n">
        <v>0.92893142</v>
      </c>
      <c r="L50" s="20" t="n">
        <v>0.65353702</v>
      </c>
      <c r="M50" s="18" t="n">
        <v>0</v>
      </c>
      <c r="N50" s="20" t="n">
        <v>0</v>
      </c>
      <c r="O50" s="18" t="n">
        <v>0</v>
      </c>
      <c r="P50" s="20" t="n">
        <v>0</v>
      </c>
      <c r="Q50" s="18" t="n">
        <v>0.16743</v>
      </c>
      <c r="R50" s="20" t="n">
        <v>0.12795022</v>
      </c>
    </row>
    <row r="51" spans="1:18">
      <c r="A51" s="15" t="s">
        <v>393</v>
      </c>
      <c r="B51" s="17" t="n">
        <v>3372</v>
      </c>
      <c r="C51" s="18">
        <f>(2994.0/B51*100)</f>
        <v/>
      </c>
      <c r="D51" s="19" t="n">
        <v>378</v>
      </c>
      <c r="E51" s="18" t="n">
        <v>42.93899495</v>
      </c>
      <c r="F51" s="20" t="n">
        <v>2.93814232</v>
      </c>
      <c r="G51" s="18" t="n">
        <v>55.47306312</v>
      </c>
      <c r="H51" s="20" t="n">
        <v>2.99590563</v>
      </c>
      <c r="I51" s="18" t="s">
        <v>349</v>
      </c>
      <c r="J51" s="20" t="s">
        <v>349</v>
      </c>
      <c r="K51" s="18" t="n">
        <v>0.04296652</v>
      </c>
      <c r="L51" s="20" t="n">
        <v>0.04313467</v>
      </c>
      <c r="M51" s="18" t="n">
        <v>0</v>
      </c>
      <c r="N51" s="20" t="n">
        <v>0</v>
      </c>
      <c r="O51" s="18" t="n">
        <v>0</v>
      </c>
      <c r="P51" s="20" t="n">
        <v>0</v>
      </c>
      <c r="Q51" s="18" t="n">
        <v>1.54497541</v>
      </c>
      <c r="R51" s="20" t="n">
        <v>0.69252962</v>
      </c>
    </row>
    <row r="52" spans="1:18">
      <c r="A52" s="15" t="s">
        <v>394</v>
      </c>
      <c r="B52" s="17" t="n">
        <v>2796</v>
      </c>
      <c r="C52" s="18">
        <f>(2457.0/B52*100)</f>
        <v/>
      </c>
      <c r="D52" s="19" t="n">
        <v>339</v>
      </c>
      <c r="E52" s="18" t="n">
        <v>31.13434983</v>
      </c>
      <c r="F52" s="20" t="n">
        <v>2.82336486</v>
      </c>
      <c r="G52" s="18" t="n">
        <v>67.64468658</v>
      </c>
      <c r="H52" s="20" t="n">
        <v>2.94902488</v>
      </c>
      <c r="I52" s="18" t="s">
        <v>349</v>
      </c>
      <c r="J52" s="20" t="s">
        <v>349</v>
      </c>
      <c r="K52" s="18" t="n">
        <v>0.54304128</v>
      </c>
      <c r="L52" s="20" t="n">
        <v>0.387552</v>
      </c>
      <c r="M52" s="18" t="n">
        <v>0</v>
      </c>
      <c r="N52" s="20" t="n">
        <v>0</v>
      </c>
      <c r="O52" s="18" t="n">
        <v>0</v>
      </c>
      <c r="P52" s="20" t="n">
        <v>0</v>
      </c>
      <c r="Q52" s="18" t="n">
        <v>0.67792231</v>
      </c>
      <c r="R52" s="20" t="n">
        <v>0.51162234</v>
      </c>
    </row>
    <row r="53" spans="1:18">
      <c r="A53" s="15" t="s">
        <v>395</v>
      </c>
      <c r="B53" s="17" t="n">
        <v>2811</v>
      </c>
      <c r="C53" s="18">
        <f>(2470.0/B53*100)</f>
        <v/>
      </c>
      <c r="D53" s="19" t="n">
        <v>341</v>
      </c>
      <c r="E53" s="18" t="n">
        <v>51.53882064</v>
      </c>
      <c r="F53" s="20" t="n">
        <v>2.98615039</v>
      </c>
      <c r="G53" s="18" t="n">
        <v>47.09843739</v>
      </c>
      <c r="H53" s="20" t="n">
        <v>3.00148206</v>
      </c>
      <c r="I53" s="18" t="s">
        <v>349</v>
      </c>
      <c r="J53" s="20" t="s">
        <v>349</v>
      </c>
      <c r="K53" s="18" t="n">
        <v>0.51098781</v>
      </c>
      <c r="L53" s="20" t="n">
        <v>0.36280374</v>
      </c>
      <c r="M53" s="18" t="n">
        <v>0</v>
      </c>
      <c r="N53" s="20" t="n">
        <v>0</v>
      </c>
      <c r="O53" s="18" t="n">
        <v>0</v>
      </c>
      <c r="P53" s="20" t="n">
        <v>0</v>
      </c>
      <c r="Q53" s="18" t="n">
        <v>0.85175416</v>
      </c>
      <c r="R53" s="20" t="n">
        <v>0.52903898</v>
      </c>
    </row>
    <row r="54" spans="1:18">
      <c r="A54" s="15" t="s">
        <v>396</v>
      </c>
      <c r="B54" s="17" t="n">
        <v>2266</v>
      </c>
      <c r="C54" s="18">
        <f>(1889.0/B54*100)</f>
        <v/>
      </c>
      <c r="D54" s="19" t="n">
        <v>377</v>
      </c>
      <c r="E54" s="18" t="n">
        <v>54.05704279</v>
      </c>
      <c r="F54" s="20" t="n">
        <v>2.82974957</v>
      </c>
      <c r="G54" s="18" t="n">
        <v>36.74659694</v>
      </c>
      <c r="H54" s="20" t="n">
        <v>2.54842305</v>
      </c>
      <c r="I54" s="18" t="s">
        <v>349</v>
      </c>
      <c r="J54" s="20" t="s">
        <v>349</v>
      </c>
      <c r="K54" s="18" t="n">
        <v>5.36532509</v>
      </c>
      <c r="L54" s="20" t="n">
        <v>1.37022121</v>
      </c>
      <c r="M54" s="18" t="n">
        <v>0</v>
      </c>
      <c r="N54" s="20" t="n">
        <v>0</v>
      </c>
      <c r="O54" s="18" t="n">
        <v>0</v>
      </c>
      <c r="P54" s="20" t="n">
        <v>0</v>
      </c>
      <c r="Q54" s="18" t="n">
        <v>3.83103518</v>
      </c>
      <c r="R54" s="20" t="n">
        <v>1.53610604</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(2349.0/B56*100)</f>
        <v/>
      </c>
      <c r="D56" s="19" t="n">
        <v>335</v>
      </c>
      <c r="E56" s="18" t="n">
        <v>26.70873885</v>
      </c>
      <c r="F56" s="20" t="n">
        <v>2.93914375</v>
      </c>
      <c r="G56" s="18" t="n">
        <v>72.61644131</v>
      </c>
      <c r="H56" s="20" t="n">
        <v>2.90793036</v>
      </c>
      <c r="I56" s="18" t="s">
        <v>349</v>
      </c>
      <c r="J56" s="20" t="s">
        <v>349</v>
      </c>
      <c r="K56" s="18" t="n">
        <v>0</v>
      </c>
      <c r="L56" s="20" t="n">
        <v>0</v>
      </c>
      <c r="M56" s="18" t="n">
        <v>0</v>
      </c>
      <c r="N56" s="20" t="n">
        <v>0</v>
      </c>
      <c r="O56" s="18" t="n">
        <v>0</v>
      </c>
      <c r="P56" s="20" t="n">
        <v>0</v>
      </c>
      <c r="Q56" s="18" t="n">
        <v>0.6748198399999999</v>
      </c>
      <c r="R56" s="20" t="n">
        <v>0.39431945</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(2923.0/B61*100)</f>
        <v/>
      </c>
      <c r="D61" s="19" t="n">
        <v>401</v>
      </c>
      <c r="E61" s="18" t="n">
        <v>40.40124622</v>
      </c>
      <c r="F61" s="20" t="n">
        <v>2.76796012</v>
      </c>
      <c r="G61" s="18" t="n">
        <v>58.54116802</v>
      </c>
      <c r="H61" s="20" t="n">
        <v>2.79814887</v>
      </c>
      <c r="I61" s="18" t="s">
        <v>349</v>
      </c>
      <c r="J61" s="20" t="s">
        <v>349</v>
      </c>
      <c r="K61" s="18" t="n">
        <v>0.37578494</v>
      </c>
      <c r="L61" s="20" t="n">
        <v>0.31238929</v>
      </c>
      <c r="M61" s="18" t="n">
        <v>0</v>
      </c>
      <c r="N61" s="20" t="n">
        <v>0</v>
      </c>
      <c r="O61" s="18" t="n">
        <v>0</v>
      </c>
      <c r="P61" s="20" t="n">
        <v>0</v>
      </c>
      <c r="Q61" s="18" t="n">
        <v>0.68180082</v>
      </c>
      <c r="R61" s="20" t="n">
        <v>0.47510591</v>
      </c>
    </row>
    <row r="62" spans="1:18">
      <c r="A62" s="15" t="s">
        <v>404</v>
      </c>
      <c r="B62" s="17" t="n">
        <v>2246</v>
      </c>
      <c r="C62" s="18">
        <f>(1957.0/B62*100)</f>
        <v/>
      </c>
      <c r="D62" s="19" t="n">
        <v>289</v>
      </c>
      <c r="E62" s="18" t="n">
        <v>22.12086747</v>
      </c>
      <c r="F62" s="20" t="n">
        <v>2.19270657</v>
      </c>
      <c r="G62" s="18" t="n">
        <v>77.87913253000001</v>
      </c>
      <c r="H62" s="20" t="n">
        <v>2.19270657</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(2540.0/B66*100)</f>
        <v/>
      </c>
      <c r="D66" s="19" t="n">
        <v>354</v>
      </c>
      <c r="E66" s="18" t="n">
        <v>44.14649492</v>
      </c>
      <c r="F66" s="20" t="n">
        <v>2.6570445</v>
      </c>
      <c r="G66" s="18" t="n">
        <v>53.41788337</v>
      </c>
      <c r="H66" s="20" t="n">
        <v>2.74722162</v>
      </c>
      <c r="I66" s="18" t="s">
        <v>349</v>
      </c>
      <c r="J66" s="20" t="s">
        <v>349</v>
      </c>
      <c r="K66" s="18" t="n">
        <v>0.28643085</v>
      </c>
      <c r="L66" s="20" t="n">
        <v>0.28682653</v>
      </c>
      <c r="M66" s="18" t="n">
        <v>0</v>
      </c>
      <c r="N66" s="20" t="n">
        <v>0</v>
      </c>
      <c r="O66" s="18" t="n">
        <v>0</v>
      </c>
      <c r="P66" s="20" t="n">
        <v>0</v>
      </c>
      <c r="Q66" s="18" t="n">
        <v>2.14919086</v>
      </c>
      <c r="R66" s="20" t="n">
        <v>0.73445475</v>
      </c>
    </row>
    <row r="67" spans="1:18">
      <c r="A67" s="15" t="s">
        <v>409</v>
      </c>
      <c r="B67" s="17" t="n">
        <v>3511</v>
      </c>
      <c r="C67" s="18">
        <f>(3106.0/B67*100)</f>
        <v/>
      </c>
      <c r="D67" s="19" t="n">
        <v>405</v>
      </c>
      <c r="E67" s="18" t="n">
        <v>49.9481998</v>
      </c>
      <c r="F67" s="20" t="n">
        <v>2.41790957</v>
      </c>
      <c r="G67" s="18" t="n">
        <v>49.59135588</v>
      </c>
      <c r="H67" s="20" t="n">
        <v>2.49008069</v>
      </c>
      <c r="I67" s="18" t="s">
        <v>349</v>
      </c>
      <c r="J67" s="20" t="s">
        <v>349</v>
      </c>
      <c r="K67" s="18" t="n">
        <v>0</v>
      </c>
      <c r="L67" s="20" t="n">
        <v>0</v>
      </c>
      <c r="M67" s="18" t="n">
        <v>0</v>
      </c>
      <c r="N67" s="20" t="n">
        <v>0</v>
      </c>
      <c r="O67" s="18" t="n">
        <v>0</v>
      </c>
      <c r="P67" s="20" t="n">
        <v>0</v>
      </c>
      <c r="Q67" s="18" t="n">
        <v>0.46044433</v>
      </c>
      <c r="R67" s="20" t="n">
        <v>0.32985554</v>
      </c>
    </row>
    <row r="68" spans="1:18">
      <c r="A68" s="15" t="s">
        <v>410</v>
      </c>
      <c r="B68" s="17" t="n">
        <v>6049</v>
      </c>
      <c r="C68" s="18">
        <f>(5034.0/B68*100)</f>
        <v/>
      </c>
      <c r="D68" s="19" t="n">
        <v>1015</v>
      </c>
      <c r="E68" s="18" t="n">
        <v>56.67756416</v>
      </c>
      <c r="F68" s="20" t="n">
        <v>1.47243156</v>
      </c>
      <c r="G68" s="18" t="n">
        <v>39.96374445</v>
      </c>
      <c r="H68" s="20" t="n">
        <v>1.44539527</v>
      </c>
      <c r="I68" s="18" t="s">
        <v>349</v>
      </c>
      <c r="J68" s="20" t="s">
        <v>349</v>
      </c>
      <c r="K68" s="18" t="n">
        <v>1.05084997</v>
      </c>
      <c r="L68" s="20" t="n">
        <v>0.31018996</v>
      </c>
      <c r="M68" s="18" t="n">
        <v>0</v>
      </c>
      <c r="N68" s="20" t="n">
        <v>0</v>
      </c>
      <c r="O68" s="18" t="n">
        <v>0</v>
      </c>
      <c r="P68" s="20" t="n">
        <v>0</v>
      </c>
      <c r="Q68" s="18" t="n">
        <v>2.30784142</v>
      </c>
      <c r="R68" s="20" t="n">
        <v>0.44469274</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(2572.0/B70*100)</f>
        <v/>
      </c>
      <c r="D70" s="19" t="n">
        <v>357</v>
      </c>
      <c r="E70" s="18" t="n">
        <v>34.6156953</v>
      </c>
      <c r="F70" s="20" t="n">
        <v>2.65613</v>
      </c>
      <c r="G70" s="18" t="n">
        <v>65.22740861</v>
      </c>
      <c r="H70" s="20" t="n">
        <v>2.63759563</v>
      </c>
      <c r="I70" s="18" t="s">
        <v>349</v>
      </c>
      <c r="J70" s="20" t="s">
        <v>349</v>
      </c>
      <c r="K70" s="18" t="n">
        <v>0</v>
      </c>
      <c r="L70" s="20" t="n">
        <v>0</v>
      </c>
      <c r="M70" s="18" t="n">
        <v>0</v>
      </c>
      <c r="N70" s="20" t="n">
        <v>0</v>
      </c>
      <c r="O70" s="18" t="n">
        <v>0</v>
      </c>
      <c r="P70" s="20" t="n">
        <v>0</v>
      </c>
      <c r="Q70" s="18" t="n">
        <v>0.15689608</v>
      </c>
      <c r="R70" s="20" t="n">
        <v>0.16076214</v>
      </c>
    </row>
    <row r="71" spans="1:18">
      <c r="A71" s="15" t="s">
        <v>413</v>
      </c>
      <c r="B71" s="17" t="n">
        <v>3142</v>
      </c>
      <c r="C71" s="18">
        <f>(2755.0/B71*100)</f>
        <v/>
      </c>
      <c r="D71" s="19" t="n">
        <v>387</v>
      </c>
      <c r="E71" s="18" t="n">
        <v>25.64588429</v>
      </c>
      <c r="F71" s="20" t="n">
        <v>2.31016141</v>
      </c>
      <c r="G71" s="18" t="n">
        <v>73.87683819999999</v>
      </c>
      <c r="H71" s="20" t="n">
        <v>2.34701208</v>
      </c>
      <c r="I71" s="18" t="s">
        <v>349</v>
      </c>
      <c r="J71" s="20" t="s">
        <v>349</v>
      </c>
      <c r="K71" s="18" t="n">
        <v>0.27329043</v>
      </c>
      <c r="L71" s="20" t="n">
        <v>0.25921558</v>
      </c>
      <c r="M71" s="18" t="n">
        <v>0</v>
      </c>
      <c r="N71" s="20" t="n">
        <v>0</v>
      </c>
      <c r="O71" s="18" t="n">
        <v>0</v>
      </c>
      <c r="P71" s="20" t="n">
        <v>0</v>
      </c>
      <c r="Q71" s="18" t="n">
        <v>0.20398708</v>
      </c>
      <c r="R71" s="20" t="n">
        <v>0.20386403</v>
      </c>
    </row>
    <row r="72" spans="1:18">
      <c r="A72" s="15" t="s">
        <v>414</v>
      </c>
      <c r="B72" s="17" t="n">
        <v>3889</v>
      </c>
      <c r="C72" s="18">
        <f>(3408.0/B72*100)</f>
        <v/>
      </c>
      <c r="D72" s="19" t="n">
        <v>481</v>
      </c>
      <c r="E72" s="18" t="n">
        <v>23.301782</v>
      </c>
      <c r="F72" s="20" t="n">
        <v>2.07476633</v>
      </c>
      <c r="G72" s="18" t="n">
        <v>75.98474191</v>
      </c>
      <c r="H72" s="20" t="n">
        <v>2.06090843</v>
      </c>
      <c r="I72" s="18" t="s">
        <v>349</v>
      </c>
      <c r="J72" s="20" t="s">
        <v>349</v>
      </c>
      <c r="K72" s="18" t="n">
        <v>0</v>
      </c>
      <c r="L72" s="20" t="n">
        <v>0</v>
      </c>
      <c r="M72" s="18" t="n">
        <v>0</v>
      </c>
      <c r="N72" s="20" t="n">
        <v>0</v>
      </c>
      <c r="O72" s="18" t="n">
        <v>0</v>
      </c>
      <c r="P72" s="20" t="n">
        <v>0</v>
      </c>
      <c r="Q72" s="18" t="n">
        <v>0.71347609</v>
      </c>
      <c r="R72" s="20" t="n">
        <v>0.33219173</v>
      </c>
    </row>
    <row r="73" spans="1:18">
      <c r="A73" s="15" t="s">
        <v>415</v>
      </c>
      <c r="B73" s="17" t="n">
        <v>3597</v>
      </c>
      <c r="C73" s="18">
        <f>(3161.0/B73*100)</f>
        <v/>
      </c>
      <c r="D73" s="19" t="n">
        <v>436</v>
      </c>
      <c r="E73" s="18" t="n">
        <v>50.41629866</v>
      </c>
      <c r="F73" s="20" t="n">
        <v>3.42711561</v>
      </c>
      <c r="G73" s="18" t="n">
        <v>49.58370134</v>
      </c>
      <c r="H73" s="20" t="n">
        <v>3.42711561</v>
      </c>
      <c r="I73" s="18" t="s">
        <v>349</v>
      </c>
      <c r="J73" s="20" t="s">
        <v>349</v>
      </c>
      <c r="K73" s="18" t="n">
        <v>0</v>
      </c>
      <c r="L73" s="20" t="n">
        <v>0</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(2114.0/B75*100)</f>
        <v/>
      </c>
      <c r="D75" s="19" t="n">
        <v>292</v>
      </c>
      <c r="E75" s="18" t="n">
        <v>48.81500732</v>
      </c>
      <c r="F75" s="20" t="n">
        <v>2.74587047</v>
      </c>
      <c r="G75" s="18" t="n">
        <v>50.00581963</v>
      </c>
      <c r="H75" s="20" t="n">
        <v>2.8480394</v>
      </c>
      <c r="I75" s="18" t="s">
        <v>349</v>
      </c>
      <c r="J75" s="20" t="s">
        <v>349</v>
      </c>
      <c r="K75" s="18" t="n">
        <v>0</v>
      </c>
      <c r="L75" s="20" t="n">
        <v>0</v>
      </c>
      <c r="M75" s="18" t="n">
        <v>0</v>
      </c>
      <c r="N75" s="20" t="n">
        <v>0</v>
      </c>
      <c r="O75" s="18" t="n">
        <v>0</v>
      </c>
      <c r="P75" s="20" t="n">
        <v>0</v>
      </c>
      <c r="Q75" s="18" t="n">
        <v>1.17917305</v>
      </c>
      <c r="R75" s="20" t="n">
        <v>0.58291816</v>
      </c>
    </row>
    <row r="76" spans="1:18">
      <c r="A76" s="15" t="s">
        <v>418</v>
      </c>
      <c r="B76" s="17" t="n">
        <v>7052</v>
      </c>
      <c r="C76" s="18">
        <f>(6195.0/B76*100)</f>
        <v/>
      </c>
      <c r="D76" s="19" t="n">
        <v>857</v>
      </c>
      <c r="E76" s="18" t="n">
        <v>47.68204817</v>
      </c>
      <c r="F76" s="20" t="n">
        <v>2.44758617</v>
      </c>
      <c r="G76" s="18" t="n">
        <v>49.74798042</v>
      </c>
      <c r="H76" s="20" t="n">
        <v>2.28077864</v>
      </c>
      <c r="I76" s="18" t="s">
        <v>349</v>
      </c>
      <c r="J76" s="20" t="s">
        <v>349</v>
      </c>
      <c r="K76" s="18" t="n">
        <v>0.97391388</v>
      </c>
      <c r="L76" s="20" t="n">
        <v>0.37706633</v>
      </c>
      <c r="M76" s="18" t="n">
        <v>0</v>
      </c>
      <c r="N76" s="20" t="n">
        <v>0</v>
      </c>
      <c r="O76" s="18" t="n">
        <v>0</v>
      </c>
      <c r="P76" s="20" t="n">
        <v>0</v>
      </c>
      <c r="Q76" s="18" t="n">
        <v>1.59605754</v>
      </c>
      <c r="R76" s="20" t="n">
        <v>0.68070994</v>
      </c>
    </row>
    <row r="77" spans="1:18">
      <c r="A77" s="15" t="s">
        <v>419</v>
      </c>
      <c r="B77" s="17" t="n">
        <v>2908</v>
      </c>
      <c r="C77" s="18">
        <f>(2533.0/B77*100)</f>
        <v/>
      </c>
      <c r="D77" s="19" t="n">
        <v>375</v>
      </c>
      <c r="E77" s="18" t="n">
        <v>44.89641165</v>
      </c>
      <c r="F77" s="20" t="n">
        <v>2.366565</v>
      </c>
      <c r="G77" s="18" t="n">
        <v>51.89842254</v>
      </c>
      <c r="H77" s="20" t="n">
        <v>2.36089685</v>
      </c>
      <c r="I77" s="18" t="s">
        <v>349</v>
      </c>
      <c r="J77" s="20" t="s">
        <v>349</v>
      </c>
      <c r="K77" s="18" t="n">
        <v>1.04268112</v>
      </c>
      <c r="L77" s="20" t="n">
        <v>0.64854405</v>
      </c>
      <c r="M77" s="18" t="n">
        <v>0</v>
      </c>
      <c r="N77" s="20" t="n">
        <v>0</v>
      </c>
      <c r="O77" s="18" t="n">
        <v>0</v>
      </c>
      <c r="P77" s="20" t="n">
        <v>0</v>
      </c>
      <c r="Q77" s="18" t="n">
        <v>2.16248469</v>
      </c>
      <c r="R77" s="20" t="n">
        <v>0.64296631</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47.77542326</v>
      </c>
      <c r="F81" s="20" t="n">
        <v>2.81036233</v>
      </c>
      <c r="G81" s="18" t="n">
        <v>51.18383352</v>
      </c>
      <c r="H81" s="20" t="n">
        <v>2.83512122</v>
      </c>
      <c r="I81" s="18" t="s">
        <v>349</v>
      </c>
      <c r="J81" s="20" t="s">
        <v>349</v>
      </c>
      <c r="K81" s="18" t="n">
        <v>0.31144652</v>
      </c>
      <c r="L81" s="20" t="n">
        <v>0.21882427</v>
      </c>
      <c r="M81" s="18" t="n">
        <v>0</v>
      </c>
      <c r="N81" s="20" t="n">
        <v>0</v>
      </c>
      <c r="O81" s="18" t="n">
        <v>0</v>
      </c>
      <c r="P81" s="20" t="n">
        <v>0</v>
      </c>
      <c r="Q81" s="18" t="n">
        <v>0.7292967</v>
      </c>
      <c r="R81" s="20" t="n">
        <v>0.4920629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(6484.0/B7*100)</f>
        <v/>
      </c>
      <c r="D7" s="19" t="n">
        <v>883</v>
      </c>
      <c r="E7" s="18" t="n">
        <v>57.58874259</v>
      </c>
      <c r="F7" s="20" t="n">
        <v>2.04295032</v>
      </c>
      <c r="G7" s="18" t="n">
        <v>40.82856588</v>
      </c>
      <c r="H7" s="20" t="n">
        <v>1.98517317</v>
      </c>
      <c r="I7" s="18" t="s">
        <v>349</v>
      </c>
      <c r="J7" s="20" t="s">
        <v>349</v>
      </c>
      <c r="K7" s="18" t="n">
        <v>0.4790094</v>
      </c>
      <c r="L7" s="20" t="n">
        <v>0.29569951</v>
      </c>
      <c r="M7" s="18" t="n">
        <v>0</v>
      </c>
      <c r="N7" s="20" t="n">
        <v>0</v>
      </c>
      <c r="O7" s="18" t="n">
        <v>0</v>
      </c>
      <c r="P7" s="20" t="n">
        <v>0</v>
      </c>
      <c r="Q7" s="18" t="n">
        <v>1.10368213</v>
      </c>
      <c r="R7" s="20" t="n">
        <v>0.45402368</v>
      </c>
    </row>
    <row r="8" spans="1:18">
      <c r="A8" s="15" t="s">
        <v>350</v>
      </c>
      <c r="B8" s="17" t="n">
        <v>3564</v>
      </c>
      <c r="C8" s="18">
        <f>(3099.0/B8*100)</f>
        <v/>
      </c>
      <c r="D8" s="19" t="n">
        <v>465</v>
      </c>
      <c r="E8" s="18" t="n">
        <v>40.063127</v>
      </c>
      <c r="F8" s="20" t="n">
        <v>2.48799993</v>
      </c>
      <c r="G8" s="18" t="n">
        <v>58.16633775</v>
      </c>
      <c r="H8" s="20" t="n">
        <v>2.66377086</v>
      </c>
      <c r="I8" s="18" t="s">
        <v>349</v>
      </c>
      <c r="J8" s="20" t="s">
        <v>349</v>
      </c>
      <c r="K8" s="18" t="n">
        <v>0.25391063</v>
      </c>
      <c r="L8" s="20" t="n">
        <v>0.24820124</v>
      </c>
      <c r="M8" s="18" t="n">
        <v>0</v>
      </c>
      <c r="N8" s="20" t="n">
        <v>0</v>
      </c>
      <c r="O8" s="18" t="n">
        <v>0</v>
      </c>
      <c r="P8" s="20" t="n">
        <v>0</v>
      </c>
      <c r="Q8" s="18" t="n">
        <v>1.51662462</v>
      </c>
      <c r="R8" s="20" t="n">
        <v>0.69105236</v>
      </c>
    </row>
    <row r="9" spans="1:18">
      <c r="A9" s="15" t="s">
        <v>351</v>
      </c>
      <c r="B9" s="17" t="n">
        <v>4899</v>
      </c>
      <c r="C9" s="18">
        <f>(4315.0/B9*100)</f>
        <v/>
      </c>
      <c r="D9" s="19" t="n">
        <v>584</v>
      </c>
      <c r="E9" s="18" t="n">
        <v>42.98595161</v>
      </c>
      <c r="F9" s="20" t="n">
        <v>1.97233146</v>
      </c>
      <c r="G9" s="18" t="n">
        <v>57.01404839</v>
      </c>
      <c r="H9" s="20" t="n">
        <v>1.97233146</v>
      </c>
      <c r="I9" s="18" t="s">
        <v>349</v>
      </c>
      <c r="J9" s="20" t="s">
        <v>349</v>
      </c>
      <c r="K9" s="18" t="n">
        <v>0</v>
      </c>
      <c r="L9" s="20" t="n">
        <v>0</v>
      </c>
      <c r="M9" s="18" t="n">
        <v>0</v>
      </c>
      <c r="N9" s="20" t="n">
        <v>0</v>
      </c>
      <c r="O9" s="18" t="n">
        <v>0</v>
      </c>
      <c r="P9" s="20" t="n">
        <v>0</v>
      </c>
      <c r="Q9" s="18" t="n">
        <v>0</v>
      </c>
      <c r="R9" s="20" t="n">
        <v>0</v>
      </c>
    </row>
    <row r="10" spans="1:18">
      <c r="A10" s="15" t="s">
        <v>352</v>
      </c>
      <c r="B10" s="17" t="n">
        <v>10036</v>
      </c>
      <c r="C10" s="18">
        <f>(8808.0/B10*100)</f>
        <v/>
      </c>
      <c r="D10" s="19" t="n">
        <v>1228</v>
      </c>
      <c r="E10" s="18" t="n">
        <v>46.63467514</v>
      </c>
      <c r="F10" s="20" t="n">
        <v>2.15583584</v>
      </c>
      <c r="G10" s="18" t="n">
        <v>52.41986551</v>
      </c>
      <c r="H10" s="20" t="n">
        <v>2.13403523</v>
      </c>
      <c r="I10" s="18" t="s">
        <v>349</v>
      </c>
      <c r="J10" s="20" t="s">
        <v>349</v>
      </c>
      <c r="K10" s="18" t="n">
        <v>0.2045829</v>
      </c>
      <c r="L10" s="20" t="n">
        <v>0.11182868</v>
      </c>
      <c r="M10" s="18" t="n">
        <v>0</v>
      </c>
      <c r="N10" s="20" t="n">
        <v>0</v>
      </c>
      <c r="O10" s="18" t="n">
        <v>0</v>
      </c>
      <c r="P10" s="20" t="n">
        <v>0</v>
      </c>
      <c r="Q10" s="18" t="n">
        <v>0.74087645</v>
      </c>
      <c r="R10" s="20" t="n">
        <v>0.31575636</v>
      </c>
    </row>
    <row r="11" spans="1:18">
      <c r="A11" s="15" t="s">
        <v>353</v>
      </c>
      <c r="B11" s="17" t="n">
        <v>3553</v>
      </c>
      <c r="C11" s="18">
        <f>(3106.0/B11*100)</f>
        <v/>
      </c>
      <c r="D11" s="19" t="n">
        <v>447</v>
      </c>
      <c r="E11" s="18" t="n">
        <v>74.79686123</v>
      </c>
      <c r="F11" s="20" t="n">
        <v>2.10472786</v>
      </c>
      <c r="G11" s="18" t="n">
        <v>23.92539482</v>
      </c>
      <c r="H11" s="20" t="n">
        <v>2.08092033</v>
      </c>
      <c r="I11" s="18" t="s">
        <v>349</v>
      </c>
      <c r="J11" s="20" t="s">
        <v>349</v>
      </c>
      <c r="K11" s="18" t="n">
        <v>0</v>
      </c>
      <c r="L11" s="20" t="n">
        <v>0</v>
      </c>
      <c r="M11" s="18" t="n">
        <v>0</v>
      </c>
      <c r="N11" s="20" t="n">
        <v>0</v>
      </c>
      <c r="O11" s="18" t="n">
        <v>0</v>
      </c>
      <c r="P11" s="20" t="n">
        <v>0</v>
      </c>
      <c r="Q11" s="18" t="n">
        <v>1.27774395</v>
      </c>
      <c r="R11" s="20" t="n">
        <v>0.72379927</v>
      </c>
    </row>
    <row r="12" spans="1:18">
      <c r="A12" s="15" t="s">
        <v>354</v>
      </c>
      <c r="B12" s="17" t="n">
        <v>3472</v>
      </c>
      <c r="C12" s="18">
        <f>(3044.0/B12*100)</f>
        <v/>
      </c>
      <c r="D12" s="19" t="n">
        <v>428</v>
      </c>
      <c r="E12" s="18" t="n">
        <v>47.51800729</v>
      </c>
      <c r="F12" s="20" t="n">
        <v>3.16843382</v>
      </c>
      <c r="G12" s="18" t="n">
        <v>50.8060376</v>
      </c>
      <c r="H12" s="20" t="n">
        <v>3.14324638</v>
      </c>
      <c r="I12" s="18" t="s">
        <v>349</v>
      </c>
      <c r="J12" s="20" t="s">
        <v>349</v>
      </c>
      <c r="K12" s="18" t="n">
        <v>0.32206778</v>
      </c>
      <c r="L12" s="20" t="n">
        <v>0.52541808</v>
      </c>
      <c r="M12" s="18" t="n">
        <v>0</v>
      </c>
      <c r="N12" s="20" t="n">
        <v>0</v>
      </c>
      <c r="O12" s="18" t="n">
        <v>0</v>
      </c>
      <c r="P12" s="20" t="n">
        <v>0</v>
      </c>
      <c r="Q12" s="18" t="n">
        <v>1.35388733</v>
      </c>
      <c r="R12" s="20" t="n">
        <v>0.64310846</v>
      </c>
    </row>
    <row r="13" spans="1:18">
      <c r="A13" s="15" t="s">
        <v>355</v>
      </c>
      <c r="B13" s="17" t="n">
        <v>3559</v>
      </c>
      <c r="C13" s="18">
        <f>(3126.0/B13*100)</f>
        <v/>
      </c>
      <c r="D13" s="19" t="n">
        <v>433</v>
      </c>
      <c r="E13" s="18" t="n">
        <v>19.74457667</v>
      </c>
      <c r="F13" s="20" t="n">
        <v>2.45836604</v>
      </c>
      <c r="G13" s="18" t="n">
        <v>79.55571789</v>
      </c>
      <c r="H13" s="20" t="n">
        <v>2.47510482</v>
      </c>
      <c r="I13" s="18" t="s">
        <v>349</v>
      </c>
      <c r="J13" s="20" t="s">
        <v>349</v>
      </c>
      <c r="K13" s="18" t="n">
        <v>0.28287454</v>
      </c>
      <c r="L13" s="20" t="n">
        <v>0.25201213</v>
      </c>
      <c r="M13" s="18" t="n">
        <v>0</v>
      </c>
      <c r="N13" s="20" t="n">
        <v>0</v>
      </c>
      <c r="O13" s="18" t="n">
        <v>0</v>
      </c>
      <c r="P13" s="20" t="n">
        <v>0</v>
      </c>
      <c r="Q13" s="18" t="n">
        <v>0.4168309</v>
      </c>
      <c r="R13" s="20" t="n">
        <v>0.21345761</v>
      </c>
    </row>
    <row r="14" spans="1:18">
      <c r="A14" s="15" t="s">
        <v>356</v>
      </c>
      <c r="B14" s="17" t="n">
        <v>2799</v>
      </c>
      <c r="C14" s="18">
        <f>(2468.0/B14*100)</f>
        <v/>
      </c>
      <c r="D14" s="19" t="n">
        <v>331</v>
      </c>
      <c r="E14" s="18" t="n">
        <v>41.39188897</v>
      </c>
      <c r="F14" s="20" t="n">
        <v>2.92331191</v>
      </c>
      <c r="G14" s="18" t="n">
        <v>57.87572185</v>
      </c>
      <c r="H14" s="20" t="n">
        <v>2.96616571</v>
      </c>
      <c r="I14" s="18" t="s">
        <v>349</v>
      </c>
      <c r="J14" s="20" t="s">
        <v>349</v>
      </c>
      <c r="K14" s="18" t="n">
        <v>0</v>
      </c>
      <c r="L14" s="20" t="n">
        <v>0</v>
      </c>
      <c r="M14" s="18" t="n">
        <v>0</v>
      </c>
      <c r="N14" s="20" t="n">
        <v>0</v>
      </c>
      <c r="O14" s="18" t="n">
        <v>0</v>
      </c>
      <c r="P14" s="20" t="n">
        <v>0</v>
      </c>
      <c r="Q14" s="18" t="n">
        <v>0.73238919</v>
      </c>
      <c r="R14" s="20" t="n">
        <v>0.77463863</v>
      </c>
    </row>
    <row r="15" spans="1:18">
      <c r="A15" s="15" t="s">
        <v>357</v>
      </c>
      <c r="B15" s="17" t="n">
        <v>3019</v>
      </c>
      <c r="C15" s="18">
        <f>(2644.0/B15*100)</f>
        <v/>
      </c>
      <c r="D15" s="19" t="n">
        <v>375</v>
      </c>
      <c r="E15" s="18" t="n">
        <v>29.56336342</v>
      </c>
      <c r="F15" s="20" t="n">
        <v>2.71136178</v>
      </c>
      <c r="G15" s="18" t="n">
        <v>69.65749685999999</v>
      </c>
      <c r="H15" s="20" t="n">
        <v>2.7442724</v>
      </c>
      <c r="I15" s="18" t="s">
        <v>349</v>
      </c>
      <c r="J15" s="20" t="s">
        <v>349</v>
      </c>
      <c r="K15" s="18" t="n">
        <v>0</v>
      </c>
      <c r="L15" s="20" t="n">
        <v>0</v>
      </c>
      <c r="M15" s="18" t="n">
        <v>0</v>
      </c>
      <c r="N15" s="20" t="n">
        <v>0</v>
      </c>
      <c r="O15" s="18" t="n">
        <v>0</v>
      </c>
      <c r="P15" s="20" t="n">
        <v>0</v>
      </c>
      <c r="Q15" s="18" t="n">
        <v>0.77913973</v>
      </c>
      <c r="R15" s="20" t="n">
        <v>0.43890225</v>
      </c>
    </row>
    <row r="16" spans="1:18">
      <c r="A16" s="15" t="s">
        <v>358</v>
      </c>
      <c r="B16" s="17" t="n">
        <v>2997</v>
      </c>
      <c r="C16" s="18">
        <f>(2619.0/B16*100)</f>
        <v/>
      </c>
      <c r="D16" s="19" t="n">
        <v>378</v>
      </c>
      <c r="E16" s="18" t="n">
        <v>49.64978557</v>
      </c>
      <c r="F16" s="20" t="n">
        <v>2.50270158</v>
      </c>
      <c r="G16" s="18" t="n">
        <v>49.29584048</v>
      </c>
      <c r="H16" s="20" t="n">
        <v>2.41976324</v>
      </c>
      <c r="I16" s="18" t="s">
        <v>349</v>
      </c>
      <c r="J16" s="20" t="s">
        <v>349</v>
      </c>
      <c r="K16" s="18" t="n">
        <v>0.27855467</v>
      </c>
      <c r="L16" s="20" t="n">
        <v>0.28015435</v>
      </c>
      <c r="M16" s="18" t="n">
        <v>0</v>
      </c>
      <c r="N16" s="20" t="n">
        <v>0</v>
      </c>
      <c r="O16" s="18" t="n">
        <v>0</v>
      </c>
      <c r="P16" s="20" t="n">
        <v>0</v>
      </c>
      <c r="Q16" s="18" t="n">
        <v>0.77581928</v>
      </c>
      <c r="R16" s="20" t="n">
        <v>0.53253451</v>
      </c>
    </row>
    <row r="17" spans="1:18">
      <c r="A17" s="15" t="s">
        <v>359</v>
      </c>
      <c r="B17" s="17" t="n">
        <v>3307</v>
      </c>
      <c r="C17" s="18">
        <f>(2884.0/B17*100)</f>
        <v/>
      </c>
      <c r="D17" s="19" t="n">
        <v>423</v>
      </c>
      <c r="E17" s="18" t="n">
        <v>40.14239597</v>
      </c>
      <c r="F17" s="20" t="n">
        <v>2.4328021</v>
      </c>
      <c r="G17" s="18" t="n">
        <v>59.25235817</v>
      </c>
      <c r="H17" s="20" t="n">
        <v>2.42741107</v>
      </c>
      <c r="I17" s="18" t="s">
        <v>349</v>
      </c>
      <c r="J17" s="20" t="s">
        <v>349</v>
      </c>
      <c r="K17" s="18" t="n">
        <v>0</v>
      </c>
      <c r="L17" s="20" t="n">
        <v>0</v>
      </c>
      <c r="M17" s="18" t="n">
        <v>0</v>
      </c>
      <c r="N17" s="20" t="n">
        <v>0</v>
      </c>
      <c r="O17" s="18" t="n">
        <v>0</v>
      </c>
      <c r="P17" s="20" t="n">
        <v>0</v>
      </c>
      <c r="Q17" s="18" t="n">
        <v>0.60524586</v>
      </c>
      <c r="R17" s="20" t="n">
        <v>0.43972547</v>
      </c>
    </row>
    <row r="18" spans="1:18">
      <c r="A18" s="15" t="s">
        <v>360</v>
      </c>
      <c r="B18" s="17" t="n">
        <v>2826</v>
      </c>
      <c r="C18" s="18">
        <f>(2480.0/B18*100)</f>
        <v/>
      </c>
      <c r="D18" s="19" t="n">
        <v>346</v>
      </c>
      <c r="E18" s="18" t="n">
        <v>60.54216974</v>
      </c>
      <c r="F18" s="20" t="n">
        <v>2.64390935</v>
      </c>
      <c r="G18" s="18" t="n">
        <v>38.19580029</v>
      </c>
      <c r="H18" s="20" t="n">
        <v>2.55055259</v>
      </c>
      <c r="I18" s="18" t="s">
        <v>349</v>
      </c>
      <c r="J18" s="20" t="s">
        <v>349</v>
      </c>
      <c r="K18" s="18" t="n">
        <v>0</v>
      </c>
      <c r="L18" s="20" t="n">
        <v>0</v>
      </c>
      <c r="M18" s="18" t="n">
        <v>0</v>
      </c>
      <c r="N18" s="20" t="n">
        <v>0</v>
      </c>
      <c r="O18" s="18" t="n">
        <v>0</v>
      </c>
      <c r="P18" s="20" t="n">
        <v>0</v>
      </c>
      <c r="Q18" s="18" t="n">
        <v>1.26202996</v>
      </c>
      <c r="R18" s="20" t="n">
        <v>0.78096016</v>
      </c>
    </row>
    <row r="19" spans="1:18">
      <c r="A19" s="15" t="s">
        <v>361</v>
      </c>
      <c r="B19" s="17" t="n">
        <v>2808</v>
      </c>
      <c r="C19" s="18">
        <f>(2464.0/B19*100)</f>
        <v/>
      </c>
      <c r="D19" s="19" t="n">
        <v>344</v>
      </c>
      <c r="E19" s="18" t="n">
        <v>62.45931378</v>
      </c>
      <c r="F19" s="20" t="n">
        <v>2.85122495</v>
      </c>
      <c r="G19" s="18" t="n">
        <v>36.65264216</v>
      </c>
      <c r="H19" s="20" t="n">
        <v>2.85517262</v>
      </c>
      <c r="I19" s="18" t="s">
        <v>349</v>
      </c>
      <c r="J19" s="20" t="s">
        <v>349</v>
      </c>
      <c r="K19" s="18" t="n">
        <v>0.22783336</v>
      </c>
      <c r="L19" s="20" t="n">
        <v>0.2316988</v>
      </c>
      <c r="M19" s="18" t="n">
        <v>0</v>
      </c>
      <c r="N19" s="20" t="n">
        <v>0</v>
      </c>
      <c r="O19" s="18" t="n">
        <v>0</v>
      </c>
      <c r="P19" s="20" t="n">
        <v>0</v>
      </c>
      <c r="Q19" s="18" t="n">
        <v>0.6602107</v>
      </c>
      <c r="R19" s="20" t="n">
        <v>0.49342117</v>
      </c>
    </row>
    <row r="20" spans="1:18">
      <c r="A20" s="15" t="s">
        <v>362</v>
      </c>
      <c r="B20" s="17" t="n">
        <v>1630</v>
      </c>
      <c r="C20" s="18">
        <f>(1423.0/B20*100)</f>
        <v/>
      </c>
      <c r="D20" s="19" t="n">
        <v>207</v>
      </c>
      <c r="E20" s="18" t="n">
        <v>38.71782944</v>
      </c>
      <c r="F20" s="20" t="n">
        <v>3.86101819</v>
      </c>
      <c r="G20" s="18" t="n">
        <v>59.59357198</v>
      </c>
      <c r="H20" s="20" t="n">
        <v>4.08463397</v>
      </c>
      <c r="I20" s="18" t="s">
        <v>349</v>
      </c>
      <c r="J20" s="20" t="s">
        <v>349</v>
      </c>
      <c r="K20" s="18" t="n">
        <v>0.45773268</v>
      </c>
      <c r="L20" s="20" t="n">
        <v>0.45955128</v>
      </c>
      <c r="M20" s="18" t="n">
        <v>0</v>
      </c>
      <c r="N20" s="20" t="n">
        <v>0</v>
      </c>
      <c r="O20" s="18" t="n">
        <v>0</v>
      </c>
      <c r="P20" s="20" t="n">
        <v>0</v>
      </c>
      <c r="Q20" s="18" t="n">
        <v>1.23086591</v>
      </c>
      <c r="R20" s="20" t="n">
        <v>0.83815261</v>
      </c>
    </row>
    <row r="21" spans="1:18">
      <c r="A21" s="15" t="s">
        <v>363</v>
      </c>
      <c r="B21" s="17" t="n">
        <v>2908</v>
      </c>
      <c r="C21" s="18">
        <f>(2407.0/B21*100)</f>
        <v/>
      </c>
      <c r="D21" s="19" t="n">
        <v>501</v>
      </c>
      <c r="E21" s="18" t="n">
        <v>49.47595793</v>
      </c>
      <c r="F21" s="20" t="n">
        <v>2.51262028</v>
      </c>
      <c r="G21" s="18" t="n">
        <v>49.1742004</v>
      </c>
      <c r="H21" s="20" t="n">
        <v>2.43080105</v>
      </c>
      <c r="I21" s="18" t="s">
        <v>349</v>
      </c>
      <c r="J21" s="20" t="s">
        <v>349</v>
      </c>
      <c r="K21" s="18" t="n">
        <v>0.18674777</v>
      </c>
      <c r="L21" s="20" t="n">
        <v>0.1871901</v>
      </c>
      <c r="M21" s="18" t="n">
        <v>0</v>
      </c>
      <c r="N21" s="20" t="n">
        <v>0</v>
      </c>
      <c r="O21" s="18" t="n">
        <v>0</v>
      </c>
      <c r="P21" s="20" t="n">
        <v>0</v>
      </c>
      <c r="Q21" s="18" t="n">
        <v>1.1630939</v>
      </c>
      <c r="R21" s="20" t="n">
        <v>0.50061407</v>
      </c>
    </row>
    <row r="22" spans="1:18">
      <c r="A22" s="15" t="s">
        <v>364</v>
      </c>
      <c r="B22" s="17" t="n">
        <v>2931</v>
      </c>
      <c r="C22" s="18">
        <f>(2560.0/B22*100)</f>
        <v/>
      </c>
      <c r="D22" s="19" t="n">
        <v>371</v>
      </c>
      <c r="E22" s="18" t="n">
        <v>44.63873473</v>
      </c>
      <c r="F22" s="20" t="n">
        <v>2.80634671</v>
      </c>
      <c r="G22" s="18" t="n">
        <v>51.50534488</v>
      </c>
      <c r="H22" s="20" t="n">
        <v>2.57091868</v>
      </c>
      <c r="I22" s="18" t="s">
        <v>349</v>
      </c>
      <c r="J22" s="20" t="s">
        <v>349</v>
      </c>
      <c r="K22" s="18" t="n">
        <v>1.39898558</v>
      </c>
      <c r="L22" s="20" t="n">
        <v>0.8291818399999999</v>
      </c>
      <c r="M22" s="18" t="n">
        <v>0</v>
      </c>
      <c r="N22" s="20" t="n">
        <v>0</v>
      </c>
      <c r="O22" s="18" t="n">
        <v>0</v>
      </c>
      <c r="P22" s="20" t="n">
        <v>0</v>
      </c>
      <c r="Q22" s="18" t="n">
        <v>2.45693481</v>
      </c>
      <c r="R22" s="20" t="n">
        <v>1.22629698</v>
      </c>
    </row>
    <row r="23" spans="1:18">
      <c r="A23" s="15" t="s">
        <v>365</v>
      </c>
      <c r="B23" s="17" t="n">
        <v>5791</v>
      </c>
      <c r="C23" s="18">
        <f>(5088.0/B23*100)</f>
        <v/>
      </c>
      <c r="D23" s="19" t="n">
        <v>703</v>
      </c>
      <c r="E23" s="18" t="n">
        <v>48.7988561</v>
      </c>
      <c r="F23" s="20" t="n">
        <v>2.85036908</v>
      </c>
      <c r="G23" s="18" t="n">
        <v>49.71116706</v>
      </c>
      <c r="H23" s="20" t="n">
        <v>2.84874395</v>
      </c>
      <c r="I23" s="18" t="s">
        <v>349</v>
      </c>
      <c r="J23" s="20" t="s">
        <v>349</v>
      </c>
      <c r="K23" s="18" t="n">
        <v>0.31032863</v>
      </c>
      <c r="L23" s="20" t="n">
        <v>0.30440444</v>
      </c>
      <c r="M23" s="18" t="n">
        <v>0</v>
      </c>
      <c r="N23" s="20" t="n">
        <v>0</v>
      </c>
      <c r="O23" s="18" t="n">
        <v>0</v>
      </c>
      <c r="P23" s="20" t="n">
        <v>0</v>
      </c>
      <c r="Q23" s="18" t="n">
        <v>1.17964822</v>
      </c>
      <c r="R23" s="20" t="n">
        <v>0.6848781900000001</v>
      </c>
    </row>
    <row r="24" spans="1:18">
      <c r="A24" s="15" t="s">
        <v>366</v>
      </c>
      <c r="B24" s="17" t="n">
        <v>3338</v>
      </c>
      <c r="C24" s="18">
        <f>(2939.0/B24*100)</f>
        <v/>
      </c>
      <c r="D24" s="19" t="n">
        <v>399</v>
      </c>
      <c r="E24" s="18" t="n">
        <v>27.09088436</v>
      </c>
      <c r="F24" s="20" t="n">
        <v>2.20872162</v>
      </c>
      <c r="G24" s="18" t="n">
        <v>72.20136624</v>
      </c>
      <c r="H24" s="20" t="n">
        <v>2.15418619</v>
      </c>
      <c r="I24" s="18" t="s">
        <v>349</v>
      </c>
      <c r="J24" s="20" t="s">
        <v>349</v>
      </c>
      <c r="K24" s="18" t="n">
        <v>0.23129508</v>
      </c>
      <c r="L24" s="20" t="n">
        <v>0.23302619</v>
      </c>
      <c r="M24" s="18" t="n">
        <v>0</v>
      </c>
      <c r="N24" s="20" t="n">
        <v>0</v>
      </c>
      <c r="O24" s="18" t="n">
        <v>0</v>
      </c>
      <c r="P24" s="20" t="n">
        <v>0</v>
      </c>
      <c r="Q24" s="18" t="n">
        <v>0.47645432</v>
      </c>
      <c r="R24" s="20" t="n">
        <v>0.33360636</v>
      </c>
    </row>
    <row r="25" spans="1:18">
      <c r="A25" s="15" t="s">
        <v>367</v>
      </c>
      <c r="B25" s="17" t="n">
        <v>2912</v>
      </c>
      <c r="C25" s="18">
        <f>(2558.0/B25*100)</f>
        <v/>
      </c>
      <c r="D25" s="19" t="n">
        <v>354</v>
      </c>
      <c r="E25" s="18" t="n">
        <v>43.91874648</v>
      </c>
      <c r="F25" s="20" t="n">
        <v>2.53603205</v>
      </c>
      <c r="G25" s="18" t="n">
        <v>55.18306191</v>
      </c>
      <c r="H25" s="20" t="n">
        <v>2.60868793</v>
      </c>
      <c r="I25" s="18" t="s">
        <v>349</v>
      </c>
      <c r="J25" s="20" t="s">
        <v>349</v>
      </c>
      <c r="K25" s="18" t="n">
        <v>0.29122747</v>
      </c>
      <c r="L25" s="20" t="n">
        <v>0.29417428</v>
      </c>
      <c r="M25" s="18" t="n">
        <v>0</v>
      </c>
      <c r="N25" s="20" t="n">
        <v>0</v>
      </c>
      <c r="O25" s="18" t="n">
        <v>0</v>
      </c>
      <c r="P25" s="20" t="n">
        <v>0</v>
      </c>
      <c r="Q25" s="18" t="n">
        <v>0.60696414</v>
      </c>
      <c r="R25" s="20" t="n">
        <v>0.42946503</v>
      </c>
    </row>
    <row r="26" spans="1:18">
      <c r="A26" s="15" t="s">
        <v>368</v>
      </c>
      <c r="B26" s="17" t="n">
        <v>2450</v>
      </c>
      <c r="C26" s="18">
        <f>(2151.0/B26*100)</f>
        <v/>
      </c>
      <c r="D26" s="19" t="n">
        <v>299</v>
      </c>
      <c r="E26" s="18" t="n">
        <v>49.27853278</v>
      </c>
      <c r="F26" s="20" t="n">
        <v>3.08553756</v>
      </c>
      <c r="G26" s="18" t="n">
        <v>50.46556517</v>
      </c>
      <c r="H26" s="20" t="n">
        <v>3.07317693</v>
      </c>
      <c r="I26" s="18" t="s">
        <v>349</v>
      </c>
      <c r="J26" s="20" t="s">
        <v>349</v>
      </c>
      <c r="K26" s="18" t="n">
        <v>0</v>
      </c>
      <c r="L26" s="20" t="n">
        <v>0</v>
      </c>
      <c r="M26" s="18" t="n">
        <v>0</v>
      </c>
      <c r="N26" s="20" t="n">
        <v>0</v>
      </c>
      <c r="O26" s="18" t="n">
        <v>0</v>
      </c>
      <c r="P26" s="20" t="n">
        <v>0</v>
      </c>
      <c r="Q26" s="18" t="n">
        <v>0.25590205</v>
      </c>
      <c r="R26" s="20" t="n">
        <v>0.25113047</v>
      </c>
    </row>
    <row r="27" spans="1:18">
      <c r="A27" s="15" t="s">
        <v>369</v>
      </c>
      <c r="B27" s="17" t="n">
        <v>2616</v>
      </c>
      <c r="C27" s="18">
        <f>(2296.0/B27*100)</f>
        <v/>
      </c>
      <c r="D27" s="19" t="n">
        <v>320</v>
      </c>
      <c r="E27" s="18" t="n">
        <v>50.81337027</v>
      </c>
      <c r="F27" s="20" t="n">
        <v>2.82886081</v>
      </c>
      <c r="G27" s="18" t="n">
        <v>47.63535008</v>
      </c>
      <c r="H27" s="20" t="n">
        <v>2.81049712</v>
      </c>
      <c r="I27" s="18" t="s">
        <v>349</v>
      </c>
      <c r="J27" s="20" t="s">
        <v>349</v>
      </c>
      <c r="K27" s="18" t="n">
        <v>0</v>
      </c>
      <c r="L27" s="20" t="n">
        <v>0</v>
      </c>
      <c r="M27" s="18" t="n">
        <v>0</v>
      </c>
      <c r="N27" s="20" t="n">
        <v>0</v>
      </c>
      <c r="O27" s="18" t="n">
        <v>0</v>
      </c>
      <c r="P27" s="20" t="n">
        <v>0</v>
      </c>
      <c r="Q27" s="18" t="n">
        <v>1.55127965</v>
      </c>
      <c r="R27" s="20" t="n">
        <v>0.68960733</v>
      </c>
    </row>
    <row r="28" spans="1:18">
      <c r="A28" s="15" t="s">
        <v>370</v>
      </c>
      <c r="B28" s="17" t="n">
        <v>3765</v>
      </c>
      <c r="C28" s="18">
        <f>(3279.0/B28*100)</f>
        <v/>
      </c>
      <c r="D28" s="19" t="n">
        <v>486</v>
      </c>
      <c r="E28" s="18" t="n">
        <v>75.7258539</v>
      </c>
      <c r="F28" s="20" t="n">
        <v>1.89690473</v>
      </c>
      <c r="G28" s="18" t="n">
        <v>22.81873932</v>
      </c>
      <c r="H28" s="20" t="n">
        <v>1.79803713</v>
      </c>
      <c r="I28" s="18" t="s">
        <v>349</v>
      </c>
      <c r="J28" s="20" t="s">
        <v>349</v>
      </c>
      <c r="K28" s="18" t="n">
        <v>0.15059632</v>
      </c>
      <c r="L28" s="20" t="n">
        <v>0.15210693</v>
      </c>
      <c r="M28" s="18" t="n">
        <v>0</v>
      </c>
      <c r="N28" s="20" t="n">
        <v>0</v>
      </c>
      <c r="O28" s="18" t="n">
        <v>0</v>
      </c>
      <c r="P28" s="20" t="n">
        <v>0</v>
      </c>
      <c r="Q28" s="18" t="n">
        <v>1.30481046</v>
      </c>
      <c r="R28" s="20" t="n">
        <v>0.8286025</v>
      </c>
    </row>
    <row r="29" spans="1:18">
      <c r="A29" s="15" t="s">
        <v>371</v>
      </c>
      <c r="B29" s="17" t="n">
        <v>2685</v>
      </c>
      <c r="C29" s="18">
        <f>(2405.0/B29*100)</f>
        <v/>
      </c>
      <c r="D29" s="19" t="n">
        <v>280</v>
      </c>
      <c r="E29" s="18" t="n">
        <v>35.20806279</v>
      </c>
      <c r="F29" s="20" t="n">
        <v>2.89225715</v>
      </c>
      <c r="G29" s="18" t="n">
        <v>64.42158286</v>
      </c>
      <c r="H29" s="20" t="n">
        <v>2.98199065</v>
      </c>
      <c r="I29" s="18" t="s">
        <v>349</v>
      </c>
      <c r="J29" s="20" t="s">
        <v>349</v>
      </c>
      <c r="K29" s="18" t="n">
        <v>0</v>
      </c>
      <c r="L29" s="20" t="n">
        <v>0</v>
      </c>
      <c r="M29" s="18" t="n">
        <v>0</v>
      </c>
      <c r="N29" s="20" t="n">
        <v>0</v>
      </c>
      <c r="O29" s="18" t="n">
        <v>0</v>
      </c>
      <c r="P29" s="20" t="n">
        <v>0</v>
      </c>
      <c r="Q29" s="18" t="n">
        <v>0.37035435</v>
      </c>
      <c r="R29" s="20" t="n">
        <v>0.38148631</v>
      </c>
    </row>
    <row r="30" spans="1:18">
      <c r="A30" s="15" t="s">
        <v>372</v>
      </c>
      <c r="B30" s="17" t="n">
        <v>2263</v>
      </c>
      <c r="C30" s="18">
        <f>(1993.0/B30*100)</f>
        <v/>
      </c>
      <c r="D30" s="19" t="n">
        <v>270</v>
      </c>
      <c r="E30" s="18" t="n">
        <v>53.1393991</v>
      </c>
      <c r="F30" s="20" t="n">
        <v>3.36856009</v>
      </c>
      <c r="G30" s="18" t="n">
        <v>45.24059246</v>
      </c>
      <c r="H30" s="20" t="n">
        <v>3.39768504</v>
      </c>
      <c r="I30" s="18" t="s">
        <v>349</v>
      </c>
      <c r="J30" s="20" t="s">
        <v>349</v>
      </c>
      <c r="K30" s="18" t="n">
        <v>0</v>
      </c>
      <c r="L30" s="20" t="n">
        <v>0</v>
      </c>
      <c r="M30" s="18" t="n">
        <v>0</v>
      </c>
      <c r="N30" s="20" t="n">
        <v>0</v>
      </c>
      <c r="O30" s="18" t="n">
        <v>0</v>
      </c>
      <c r="P30" s="20" t="n">
        <v>0</v>
      </c>
      <c r="Q30" s="18" t="n">
        <v>1.62000844</v>
      </c>
      <c r="R30" s="20" t="n">
        <v>0.67561118</v>
      </c>
    </row>
    <row r="31" spans="1:18">
      <c r="A31" s="15" t="s">
        <v>373</v>
      </c>
      <c r="B31" s="17" t="n">
        <v>2750</v>
      </c>
      <c r="C31" s="18">
        <f>(2418.0/B31*100)</f>
        <v/>
      </c>
      <c r="D31" s="19" t="n">
        <v>332</v>
      </c>
      <c r="E31" s="18" t="n">
        <v>37.96295554</v>
      </c>
      <c r="F31" s="20" t="n">
        <v>2.51802699</v>
      </c>
      <c r="G31" s="18" t="n">
        <v>61.47791759</v>
      </c>
      <c r="H31" s="20" t="n">
        <v>2.53975192</v>
      </c>
      <c r="I31" s="18" t="s">
        <v>349</v>
      </c>
      <c r="J31" s="20" t="s">
        <v>349</v>
      </c>
      <c r="K31" s="18" t="n">
        <v>0</v>
      </c>
      <c r="L31" s="20" t="n">
        <v>0</v>
      </c>
      <c r="M31" s="18" t="n">
        <v>0</v>
      </c>
      <c r="N31" s="20" t="n">
        <v>0</v>
      </c>
      <c r="O31" s="18" t="n">
        <v>0</v>
      </c>
      <c r="P31" s="20" t="n">
        <v>0</v>
      </c>
      <c r="Q31" s="18" t="n">
        <v>0.5591268700000001</v>
      </c>
      <c r="R31" s="20" t="n">
        <v>0.40247102</v>
      </c>
    </row>
    <row r="32" spans="1:18">
      <c r="A32" s="15" t="s">
        <v>374</v>
      </c>
      <c r="B32" s="17" t="n">
        <v>2269</v>
      </c>
      <c r="C32" s="18">
        <f>(1853.0/B32*100)</f>
        <v/>
      </c>
      <c r="D32" s="19" t="n">
        <v>416</v>
      </c>
      <c r="E32" s="18" t="n">
        <v>44.65597866</v>
      </c>
      <c r="F32" s="20" t="n">
        <v>2.42762933</v>
      </c>
      <c r="G32" s="18" t="n">
        <v>55.1170746</v>
      </c>
      <c r="H32" s="20" t="n">
        <v>2.41771353</v>
      </c>
      <c r="I32" s="18" t="s">
        <v>349</v>
      </c>
      <c r="J32" s="20" t="s">
        <v>349</v>
      </c>
      <c r="K32" s="18" t="n">
        <v>0</v>
      </c>
      <c r="L32" s="20" t="n">
        <v>0</v>
      </c>
      <c r="M32" s="18" t="n">
        <v>0</v>
      </c>
      <c r="N32" s="20" t="n">
        <v>0</v>
      </c>
      <c r="O32" s="18" t="n">
        <v>0</v>
      </c>
      <c r="P32" s="20" t="n">
        <v>0</v>
      </c>
      <c r="Q32" s="18" t="n">
        <v>0.22694674</v>
      </c>
      <c r="R32" s="20" t="n">
        <v>0.22916377</v>
      </c>
    </row>
    <row r="33" spans="1:18">
      <c r="A33" s="15" t="s">
        <v>375</v>
      </c>
      <c r="B33" s="17" t="n">
        <v>3674</v>
      </c>
      <c r="C33" s="18">
        <f>(3236.0/B33*100)</f>
        <v/>
      </c>
      <c r="D33" s="19" t="n">
        <v>438</v>
      </c>
      <c r="E33" s="18" t="n">
        <v>59.11477319</v>
      </c>
      <c r="F33" s="20" t="n">
        <v>2.41106517</v>
      </c>
      <c r="G33" s="18" t="n">
        <v>40.2057606</v>
      </c>
      <c r="H33" s="20" t="n">
        <v>2.4702945</v>
      </c>
      <c r="I33" s="18" t="s">
        <v>349</v>
      </c>
      <c r="J33" s="20" t="s">
        <v>349</v>
      </c>
      <c r="K33" s="18" t="n">
        <v>0.67946621</v>
      </c>
      <c r="L33" s="20" t="n">
        <v>0.78737528</v>
      </c>
      <c r="M33" s="18" t="n">
        <v>0</v>
      </c>
      <c r="N33" s="20" t="n">
        <v>0</v>
      </c>
      <c r="O33" s="18" t="n">
        <v>0</v>
      </c>
      <c r="P33" s="20" t="n">
        <v>0</v>
      </c>
      <c r="Q33" s="18" t="n">
        <v>0</v>
      </c>
      <c r="R33" s="20" t="n">
        <v>0</v>
      </c>
    </row>
    <row r="34" spans="1:18">
      <c r="A34" s="15" t="s">
        <v>376</v>
      </c>
      <c r="B34" s="17" t="n">
        <v>3315</v>
      </c>
      <c r="C34" s="18">
        <f>(2911.0/B34*100)</f>
        <v/>
      </c>
      <c r="D34" s="19" t="n">
        <v>404</v>
      </c>
      <c r="E34" s="18" t="n">
        <v>53.27897725</v>
      </c>
      <c r="F34" s="20" t="n">
        <v>3.10249884</v>
      </c>
      <c r="G34" s="18" t="n">
        <v>46.0280209</v>
      </c>
      <c r="H34" s="20" t="n">
        <v>3.04598399</v>
      </c>
      <c r="I34" s="18" t="s">
        <v>349</v>
      </c>
      <c r="J34" s="20" t="s">
        <v>349</v>
      </c>
      <c r="K34" s="18" t="n">
        <v>0.20107116</v>
      </c>
      <c r="L34" s="20" t="n">
        <v>0.2004612</v>
      </c>
      <c r="M34" s="18" t="n">
        <v>0</v>
      </c>
      <c r="N34" s="20" t="n">
        <v>0</v>
      </c>
      <c r="O34" s="18" t="n">
        <v>0</v>
      </c>
      <c r="P34" s="20" t="n">
        <v>0</v>
      </c>
      <c r="Q34" s="18" t="n">
        <v>0.4919307</v>
      </c>
      <c r="R34" s="20" t="n">
        <v>0.32566708</v>
      </c>
    </row>
    <row r="35" spans="1:18">
      <c r="A35" s="15" t="s">
        <v>377</v>
      </c>
      <c r="B35" s="17" t="n">
        <v>3505</v>
      </c>
      <c r="C35" s="18">
        <f>(3090.0/B35*100)</f>
        <v/>
      </c>
      <c r="D35" s="19" t="n">
        <v>415</v>
      </c>
      <c r="E35" s="18" t="n">
        <v>34.09725626</v>
      </c>
      <c r="F35" s="20" t="n">
        <v>2.71744555</v>
      </c>
      <c r="G35" s="18" t="n">
        <v>64.92325415000001</v>
      </c>
      <c r="H35" s="20" t="n">
        <v>2.78176471</v>
      </c>
      <c r="I35" s="18" t="s">
        <v>349</v>
      </c>
      <c r="J35" s="20" t="s">
        <v>349</v>
      </c>
      <c r="K35" s="18" t="n">
        <v>0.23195478</v>
      </c>
      <c r="L35" s="20" t="n">
        <v>0.16440335</v>
      </c>
      <c r="M35" s="18" t="n">
        <v>0</v>
      </c>
      <c r="N35" s="20" t="n">
        <v>0</v>
      </c>
      <c r="O35" s="18" t="n">
        <v>0</v>
      </c>
      <c r="P35" s="20" t="n">
        <v>0</v>
      </c>
      <c r="Q35" s="18" t="n">
        <v>0.7475348000000001</v>
      </c>
      <c r="R35" s="20" t="n">
        <v>0.45339022</v>
      </c>
    </row>
    <row r="36" spans="1:18">
      <c r="A36" s="15" t="s">
        <v>378</v>
      </c>
      <c r="B36" s="17" t="n">
        <v>3332</v>
      </c>
      <c r="C36" s="18">
        <f>(2923.0/B36*100)</f>
        <v/>
      </c>
      <c r="D36" s="19" t="n">
        <v>409</v>
      </c>
      <c r="E36" s="18" t="n">
        <v>51.73539251</v>
      </c>
      <c r="F36" s="20" t="n">
        <v>2.42747214</v>
      </c>
      <c r="G36" s="18" t="n">
        <v>46.68475855</v>
      </c>
      <c r="H36" s="20" t="n">
        <v>2.54409106</v>
      </c>
      <c r="I36" s="18" t="s">
        <v>349</v>
      </c>
      <c r="J36" s="20" t="s">
        <v>349</v>
      </c>
      <c r="K36" s="18" t="n">
        <v>0.49561457</v>
      </c>
      <c r="L36" s="20" t="n">
        <v>0.37961941</v>
      </c>
      <c r="M36" s="18" t="n">
        <v>0</v>
      </c>
      <c r="N36" s="20" t="n">
        <v>0</v>
      </c>
      <c r="O36" s="18" t="n">
        <v>0</v>
      </c>
      <c r="P36" s="20" t="n">
        <v>0</v>
      </c>
      <c r="Q36" s="18" t="n">
        <v>1.08423437</v>
      </c>
      <c r="R36" s="20" t="n">
        <v>0.46763103</v>
      </c>
    </row>
    <row r="37" spans="1:18">
      <c r="A37" s="15" t="s">
        <v>379</v>
      </c>
      <c r="B37" s="17" t="n">
        <v>2727</v>
      </c>
      <c r="C37" s="18">
        <f>(2391.0/B37*100)</f>
        <v/>
      </c>
      <c r="D37" s="19" t="n">
        <v>336</v>
      </c>
      <c r="E37" s="18" t="n">
        <v>47.87001742</v>
      </c>
      <c r="F37" s="20" t="n">
        <v>2.69616331</v>
      </c>
      <c r="G37" s="18" t="n">
        <v>49.15326548</v>
      </c>
      <c r="H37" s="20" t="n">
        <v>2.82004123</v>
      </c>
      <c r="I37" s="18" t="s">
        <v>349</v>
      </c>
      <c r="J37" s="20" t="s">
        <v>349</v>
      </c>
      <c r="K37" s="18" t="n">
        <v>0.571723</v>
      </c>
      <c r="L37" s="20" t="n">
        <v>0.4666383</v>
      </c>
      <c r="M37" s="18" t="n">
        <v>0</v>
      </c>
      <c r="N37" s="20" t="n">
        <v>0</v>
      </c>
      <c r="O37" s="18" t="n">
        <v>0</v>
      </c>
      <c r="P37" s="20" t="n">
        <v>0</v>
      </c>
      <c r="Q37" s="18" t="n">
        <v>2.4049941</v>
      </c>
      <c r="R37" s="20" t="n">
        <v>1.07539936</v>
      </c>
    </row>
    <row r="38" spans="1:18">
      <c r="A38" s="15" t="s">
        <v>380</v>
      </c>
      <c r="B38" s="17" t="n">
        <v>3053</v>
      </c>
      <c r="C38" s="18">
        <f>(2522.0/B38*100)</f>
        <v/>
      </c>
      <c r="D38" s="19" t="n">
        <v>531</v>
      </c>
      <c r="E38" s="18" t="n">
        <v>40.85506078</v>
      </c>
      <c r="F38" s="20" t="n">
        <v>2.05848209</v>
      </c>
      <c r="G38" s="18" t="n">
        <v>57.78265915</v>
      </c>
      <c r="H38" s="20" t="n">
        <v>2.14877097</v>
      </c>
      <c r="I38" s="18" t="s">
        <v>349</v>
      </c>
      <c r="J38" s="20" t="s">
        <v>349</v>
      </c>
      <c r="K38" s="18" t="n">
        <v>0.18197733</v>
      </c>
      <c r="L38" s="20" t="n">
        <v>0.19732273</v>
      </c>
      <c r="M38" s="18" t="n">
        <v>0</v>
      </c>
      <c r="N38" s="20" t="n">
        <v>0</v>
      </c>
      <c r="O38" s="18" t="n">
        <v>0</v>
      </c>
      <c r="P38" s="20" t="n">
        <v>0</v>
      </c>
      <c r="Q38" s="18" t="n">
        <v>1.18030273</v>
      </c>
      <c r="R38" s="20" t="n">
        <v>0.5268830799999999</v>
      </c>
    </row>
    <row r="39" spans="1:18">
      <c r="A39" s="15" t="s">
        <v>381</v>
      </c>
      <c r="B39" s="17" t="n">
        <v>2957</v>
      </c>
      <c r="C39" s="18">
        <f>(2613.0/B39*100)</f>
        <v/>
      </c>
      <c r="D39" s="19" t="n">
        <v>344</v>
      </c>
      <c r="E39" s="18" t="n">
        <v>70.49345939</v>
      </c>
      <c r="F39" s="20" t="n">
        <v>2.58071771</v>
      </c>
      <c r="G39" s="18" t="n">
        <v>29.05587583</v>
      </c>
      <c r="H39" s="20" t="n">
        <v>2.65568326</v>
      </c>
      <c r="I39" s="18" t="s">
        <v>349</v>
      </c>
      <c r="J39" s="20" t="s">
        <v>349</v>
      </c>
      <c r="K39" s="18" t="n">
        <v>0</v>
      </c>
      <c r="L39" s="20" t="n">
        <v>0</v>
      </c>
      <c r="M39" s="18" t="n">
        <v>0</v>
      </c>
      <c r="N39" s="20" t="n">
        <v>0</v>
      </c>
      <c r="O39" s="18" t="n">
        <v>0</v>
      </c>
      <c r="P39" s="20" t="n">
        <v>0</v>
      </c>
      <c r="Q39" s="18" t="n">
        <v>0.45066477</v>
      </c>
      <c r="R39" s="20" t="n">
        <v>0.45346699</v>
      </c>
    </row>
    <row r="40" spans="1:18">
      <c r="A40" s="15" t="s">
        <v>382</v>
      </c>
      <c r="B40" s="17" t="n">
        <v>7235</v>
      </c>
      <c r="C40" s="18">
        <f>(6349.0/B40*100)</f>
        <v/>
      </c>
      <c r="D40" s="19" t="n">
        <v>886</v>
      </c>
      <c r="E40" s="18" t="n">
        <v>44.19186895</v>
      </c>
      <c r="F40" s="20" t="n">
        <v>2.48358072</v>
      </c>
      <c r="G40" s="18" t="n">
        <v>54.3146059</v>
      </c>
      <c r="H40" s="20" t="n">
        <v>2.50753982</v>
      </c>
      <c r="I40" s="18" t="s">
        <v>349</v>
      </c>
      <c r="J40" s="20" t="s">
        <v>349</v>
      </c>
      <c r="K40" s="18" t="n">
        <v>0</v>
      </c>
      <c r="L40" s="20" t="n">
        <v>0</v>
      </c>
      <c r="M40" s="18" t="n">
        <v>0</v>
      </c>
      <c r="N40" s="20" t="n">
        <v>0</v>
      </c>
      <c r="O40" s="18" t="n">
        <v>0</v>
      </c>
      <c r="P40" s="20" t="n">
        <v>0</v>
      </c>
      <c r="Q40" s="18" t="n">
        <v>1.49352515</v>
      </c>
      <c r="R40" s="20" t="n">
        <v>0.66149454</v>
      </c>
    </row>
    <row r="41" spans="1:18">
      <c r="A41" s="15" t="s">
        <v>383</v>
      </c>
      <c r="B41" s="17" t="n">
        <v>2858</v>
      </c>
      <c r="C41" s="18">
        <f>(2510.0/B41*100)</f>
        <v/>
      </c>
      <c r="D41" s="19" t="n">
        <v>348</v>
      </c>
      <c r="E41" s="18" t="n">
        <v>62.31626067</v>
      </c>
      <c r="F41" s="20" t="n">
        <v>2.7825518</v>
      </c>
      <c r="G41" s="18" t="n">
        <v>37.42616025</v>
      </c>
      <c r="H41" s="20" t="n">
        <v>2.76985035</v>
      </c>
      <c r="I41" s="18" t="s">
        <v>349</v>
      </c>
      <c r="J41" s="20" t="s">
        <v>349</v>
      </c>
      <c r="K41" s="18" t="n">
        <v>0</v>
      </c>
      <c r="L41" s="20" t="n">
        <v>0</v>
      </c>
      <c r="M41" s="18" t="n">
        <v>0</v>
      </c>
      <c r="N41" s="20" t="n">
        <v>0</v>
      </c>
      <c r="O41" s="18" t="n">
        <v>0</v>
      </c>
      <c r="P41" s="20" t="n">
        <v>0</v>
      </c>
      <c r="Q41" s="18" t="n">
        <v>0.25757907</v>
      </c>
      <c r="R41" s="20" t="n">
        <v>0.23290651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(9785.0/B46*100)</f>
        <v/>
      </c>
      <c r="D46" s="19" t="n">
        <v>1283</v>
      </c>
      <c r="E46" s="18" t="n">
        <v>75.11079423</v>
      </c>
      <c r="F46" s="20" t="n">
        <v>1.68018372</v>
      </c>
      <c r="G46" s="18" t="n">
        <v>22.9877482</v>
      </c>
      <c r="H46" s="20" t="n">
        <v>1.6472525</v>
      </c>
      <c r="I46" s="18" t="s">
        <v>349</v>
      </c>
      <c r="J46" s="20" t="s">
        <v>349</v>
      </c>
      <c r="K46" s="18" t="n">
        <v>0.6165713</v>
      </c>
      <c r="L46" s="20" t="n">
        <v>0.29991083</v>
      </c>
      <c r="M46" s="18" t="n">
        <v>0</v>
      </c>
      <c r="N46" s="20" t="n">
        <v>0</v>
      </c>
      <c r="O46" s="18" t="n">
        <v>0</v>
      </c>
      <c r="P46" s="20" t="n">
        <v>0</v>
      </c>
      <c r="Q46" s="18" t="n">
        <v>1.28488628</v>
      </c>
      <c r="R46" s="20" t="n">
        <v>0.36209904</v>
      </c>
    </row>
    <row r="47" spans="1:18">
      <c r="A47" s="15" t="s">
        <v>389</v>
      </c>
      <c r="B47" s="17" t="n">
        <v>3105</v>
      </c>
      <c r="C47" s="18">
        <f>(2710.0/B47*100)</f>
        <v/>
      </c>
      <c r="D47" s="19" t="n">
        <v>395</v>
      </c>
      <c r="E47" s="18" t="n">
        <v>58.17302027</v>
      </c>
      <c r="F47" s="20" t="n">
        <v>2.63376225</v>
      </c>
      <c r="G47" s="18" t="n">
        <v>40.86416757</v>
      </c>
      <c r="H47" s="20" t="n">
        <v>2.62881082</v>
      </c>
      <c r="I47" s="18" t="s">
        <v>349</v>
      </c>
      <c r="J47" s="20" t="s">
        <v>349</v>
      </c>
      <c r="K47" s="18" t="n">
        <v>0</v>
      </c>
      <c r="L47" s="20" t="n">
        <v>0</v>
      </c>
      <c r="M47" s="18" t="n">
        <v>0</v>
      </c>
      <c r="N47" s="20" t="n">
        <v>0</v>
      </c>
      <c r="O47" s="18" t="n">
        <v>0</v>
      </c>
      <c r="P47" s="20" t="n">
        <v>0</v>
      </c>
      <c r="Q47" s="18" t="n">
        <v>0.96281216</v>
      </c>
      <c r="R47" s="20" t="n">
        <v>0.47971134</v>
      </c>
    </row>
    <row r="48" spans="1:18">
      <c r="A48" s="15" t="s">
        <v>390</v>
      </c>
      <c r="B48" s="17" t="n">
        <v>5159</v>
      </c>
      <c r="C48" s="18">
        <f>(4547.0/B48*100)</f>
        <v/>
      </c>
      <c r="D48" s="19" t="n">
        <v>612</v>
      </c>
      <c r="E48" s="18" t="n">
        <v>36.69491235</v>
      </c>
      <c r="F48" s="20" t="n">
        <v>2.60430101</v>
      </c>
      <c r="G48" s="18" t="n">
        <v>62.06200552</v>
      </c>
      <c r="H48" s="20" t="n">
        <v>2.75124018</v>
      </c>
      <c r="I48" s="18" t="s">
        <v>349</v>
      </c>
      <c r="J48" s="20" t="s">
        <v>349</v>
      </c>
      <c r="K48" s="18" t="n">
        <v>0.83887491</v>
      </c>
      <c r="L48" s="20" t="n">
        <v>0.61641934</v>
      </c>
      <c r="M48" s="18" t="n">
        <v>0</v>
      </c>
      <c r="N48" s="20" t="n">
        <v>0</v>
      </c>
      <c r="O48" s="18" t="n">
        <v>0</v>
      </c>
      <c r="P48" s="20" t="n">
        <v>0</v>
      </c>
      <c r="Q48" s="18" t="n">
        <v>0.40420721</v>
      </c>
      <c r="R48" s="20" t="n">
        <v>0.24887863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(4940.0/B50*100)</f>
        <v/>
      </c>
      <c r="D50" s="19" t="n">
        <v>697</v>
      </c>
      <c r="E50" s="18" t="n">
        <v>76.65943297</v>
      </c>
      <c r="F50" s="20" t="n">
        <v>1.85531039</v>
      </c>
      <c r="G50" s="18" t="n">
        <v>21.81352714</v>
      </c>
      <c r="H50" s="20" t="n">
        <v>1.74976177</v>
      </c>
      <c r="I50" s="18" t="s">
        <v>349</v>
      </c>
      <c r="J50" s="20" t="s">
        <v>349</v>
      </c>
      <c r="K50" s="18" t="n">
        <v>0.93286008</v>
      </c>
      <c r="L50" s="20" t="n">
        <v>0.6563629600000001</v>
      </c>
      <c r="M50" s="18" t="n">
        <v>0</v>
      </c>
      <c r="N50" s="20" t="n">
        <v>0</v>
      </c>
      <c r="O50" s="18" t="n">
        <v>0</v>
      </c>
      <c r="P50" s="20" t="n">
        <v>0</v>
      </c>
      <c r="Q50" s="18" t="n">
        <v>0.59417981</v>
      </c>
      <c r="R50" s="20" t="n">
        <v>0.44464601</v>
      </c>
    </row>
    <row r="51" spans="1:18">
      <c r="A51" s="15" t="s">
        <v>393</v>
      </c>
      <c r="B51" s="17" t="n">
        <v>3372</v>
      </c>
      <c r="C51" s="18">
        <f>(2994.0/B51*100)</f>
        <v/>
      </c>
      <c r="D51" s="19" t="n">
        <v>378</v>
      </c>
      <c r="E51" s="18" t="n">
        <v>79.41214099</v>
      </c>
      <c r="F51" s="20" t="n">
        <v>2.33595162</v>
      </c>
      <c r="G51" s="18" t="n">
        <v>17.80690148</v>
      </c>
      <c r="H51" s="20" t="n">
        <v>2.39688592</v>
      </c>
      <c r="I51" s="18" t="s">
        <v>349</v>
      </c>
      <c r="J51" s="20" t="s">
        <v>349</v>
      </c>
      <c r="K51" s="18" t="n">
        <v>0.17990358</v>
      </c>
      <c r="L51" s="20" t="n">
        <v>0.14527752</v>
      </c>
      <c r="M51" s="18" t="n">
        <v>0</v>
      </c>
      <c r="N51" s="20" t="n">
        <v>0</v>
      </c>
      <c r="O51" s="18" t="n">
        <v>0</v>
      </c>
      <c r="P51" s="20" t="n">
        <v>0</v>
      </c>
      <c r="Q51" s="18" t="n">
        <v>2.60105396</v>
      </c>
      <c r="R51" s="20" t="n">
        <v>0.85882525</v>
      </c>
    </row>
    <row r="52" spans="1:18">
      <c r="A52" s="15" t="s">
        <v>394</v>
      </c>
      <c r="B52" s="17" t="n">
        <v>2796</v>
      </c>
      <c r="C52" s="18">
        <f>(2457.0/B52*100)</f>
        <v/>
      </c>
      <c r="D52" s="19" t="n">
        <v>339</v>
      </c>
      <c r="E52" s="18" t="n">
        <v>48.39960079</v>
      </c>
      <c r="F52" s="20" t="n">
        <v>2.73513403</v>
      </c>
      <c r="G52" s="18" t="n">
        <v>50.76406484</v>
      </c>
      <c r="H52" s="20" t="n">
        <v>2.6486141</v>
      </c>
      <c r="I52" s="18" t="s">
        <v>349</v>
      </c>
      <c r="J52" s="20" t="s">
        <v>349</v>
      </c>
      <c r="K52" s="18" t="n">
        <v>0.54304128</v>
      </c>
      <c r="L52" s="20" t="n">
        <v>0.387552</v>
      </c>
      <c r="M52" s="18" t="n">
        <v>0</v>
      </c>
      <c r="N52" s="20" t="n">
        <v>0</v>
      </c>
      <c r="O52" s="18" t="n">
        <v>0</v>
      </c>
      <c r="P52" s="20" t="n">
        <v>0</v>
      </c>
      <c r="Q52" s="18" t="n">
        <v>0.29329308</v>
      </c>
      <c r="R52" s="20" t="n">
        <v>0.2948607</v>
      </c>
    </row>
    <row r="53" spans="1:18">
      <c r="A53" s="15" t="s">
        <v>395</v>
      </c>
      <c r="B53" s="17" t="n">
        <v>2811</v>
      </c>
      <c r="C53" s="18">
        <f>(2470.0/B53*100)</f>
        <v/>
      </c>
      <c r="D53" s="19" t="n">
        <v>341</v>
      </c>
      <c r="E53" s="18" t="n">
        <v>64.21381699</v>
      </c>
      <c r="F53" s="20" t="n">
        <v>2.98175037</v>
      </c>
      <c r="G53" s="18" t="n">
        <v>34.42344103</v>
      </c>
      <c r="H53" s="20" t="n">
        <v>3.03312354</v>
      </c>
      <c r="I53" s="18" t="s">
        <v>349</v>
      </c>
      <c r="J53" s="20" t="s">
        <v>349</v>
      </c>
      <c r="K53" s="18" t="n">
        <v>0.51098781</v>
      </c>
      <c r="L53" s="20" t="n">
        <v>0.36280374</v>
      </c>
      <c r="M53" s="18" t="n">
        <v>0</v>
      </c>
      <c r="N53" s="20" t="n">
        <v>0</v>
      </c>
      <c r="O53" s="18" t="n">
        <v>0</v>
      </c>
      <c r="P53" s="20" t="n">
        <v>0</v>
      </c>
      <c r="Q53" s="18" t="n">
        <v>0.85175416</v>
      </c>
      <c r="R53" s="20" t="n">
        <v>0.53651236</v>
      </c>
    </row>
    <row r="54" spans="1:18">
      <c r="A54" s="15" t="s">
        <v>396</v>
      </c>
      <c r="B54" s="17" t="n">
        <v>2266</v>
      </c>
      <c r="C54" s="18">
        <f>(1890.0/B54*100)</f>
        <v/>
      </c>
      <c r="D54" s="19" t="n">
        <v>376</v>
      </c>
      <c r="E54" s="18" t="n">
        <v>73.68438119</v>
      </c>
      <c r="F54" s="20" t="n">
        <v>2.54447846</v>
      </c>
      <c r="G54" s="18" t="n">
        <v>15.06141188</v>
      </c>
      <c r="H54" s="20" t="n">
        <v>1.84073597</v>
      </c>
      <c r="I54" s="18" t="s">
        <v>349</v>
      </c>
      <c r="J54" s="20" t="s">
        <v>349</v>
      </c>
      <c r="K54" s="18" t="n">
        <v>6.52037183</v>
      </c>
      <c r="L54" s="20" t="n">
        <v>1.53063908</v>
      </c>
      <c r="M54" s="18" t="n">
        <v>0</v>
      </c>
      <c r="N54" s="20" t="n">
        <v>0</v>
      </c>
      <c r="O54" s="18" t="n">
        <v>0</v>
      </c>
      <c r="P54" s="20" t="n">
        <v>0</v>
      </c>
      <c r="Q54" s="18" t="n">
        <v>4.7338351</v>
      </c>
      <c r="R54" s="20" t="n">
        <v>1.60279358</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(2349.0/B56*100)</f>
        <v/>
      </c>
      <c r="D56" s="19" t="n">
        <v>335</v>
      </c>
      <c r="E56" s="18" t="n">
        <v>33.65501044</v>
      </c>
      <c r="F56" s="20" t="n">
        <v>2.70899525</v>
      </c>
      <c r="G56" s="18" t="n">
        <v>65.8476278</v>
      </c>
      <c r="H56" s="20" t="n">
        <v>2.70172591</v>
      </c>
      <c r="I56" s="18" t="s">
        <v>349</v>
      </c>
      <c r="J56" s="20" t="s">
        <v>349</v>
      </c>
      <c r="K56" s="18" t="n">
        <v>0</v>
      </c>
      <c r="L56" s="20" t="n">
        <v>0</v>
      </c>
      <c r="M56" s="18" t="n">
        <v>0</v>
      </c>
      <c r="N56" s="20" t="n">
        <v>0</v>
      </c>
      <c r="O56" s="18" t="n">
        <v>0</v>
      </c>
      <c r="P56" s="20" t="n">
        <v>0</v>
      </c>
      <c r="Q56" s="18" t="n">
        <v>0.49736176</v>
      </c>
      <c r="R56" s="20" t="n">
        <v>0.35409852</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(2923.0/B61*100)</f>
        <v/>
      </c>
      <c r="D61" s="19" t="n">
        <v>401</v>
      </c>
      <c r="E61" s="18" t="n">
        <v>55.22399336</v>
      </c>
      <c r="F61" s="20" t="n">
        <v>3.23610529</v>
      </c>
      <c r="G61" s="18" t="n">
        <v>43.37668441</v>
      </c>
      <c r="H61" s="20" t="n">
        <v>3.24826002</v>
      </c>
      <c r="I61" s="18" t="s">
        <v>349</v>
      </c>
      <c r="J61" s="20" t="s">
        <v>349</v>
      </c>
      <c r="K61" s="18" t="n">
        <v>0.37578494</v>
      </c>
      <c r="L61" s="20" t="n">
        <v>0.31238929</v>
      </c>
      <c r="M61" s="18" t="n">
        <v>0</v>
      </c>
      <c r="N61" s="20" t="n">
        <v>0</v>
      </c>
      <c r="O61" s="18" t="n">
        <v>0</v>
      </c>
      <c r="P61" s="20" t="n">
        <v>0</v>
      </c>
      <c r="Q61" s="18" t="n">
        <v>1.02353729</v>
      </c>
      <c r="R61" s="20" t="n">
        <v>0.5760906</v>
      </c>
    </row>
    <row r="62" spans="1:18">
      <c r="A62" s="15" t="s">
        <v>404</v>
      </c>
      <c r="B62" s="17" t="n">
        <v>2246</v>
      </c>
      <c r="C62" s="18">
        <f>(1957.0/B62*100)</f>
        <v/>
      </c>
      <c r="D62" s="19" t="n">
        <v>289</v>
      </c>
      <c r="E62" s="18" t="n">
        <v>30.38067003</v>
      </c>
      <c r="F62" s="20" t="n">
        <v>2.4301503</v>
      </c>
      <c r="G62" s="18" t="n">
        <v>68.93167925</v>
      </c>
      <c r="H62" s="20" t="n">
        <v>2.4444377</v>
      </c>
      <c r="I62" s="18" t="s">
        <v>349</v>
      </c>
      <c r="J62" s="20" t="s">
        <v>349</v>
      </c>
      <c r="K62" s="18" t="n">
        <v>0</v>
      </c>
      <c r="L62" s="20" t="n">
        <v>0</v>
      </c>
      <c r="M62" s="18" t="n">
        <v>0</v>
      </c>
      <c r="N62" s="20" t="n">
        <v>0</v>
      </c>
      <c r="O62" s="18" t="n">
        <v>0</v>
      </c>
      <c r="P62" s="20" t="n">
        <v>0</v>
      </c>
      <c r="Q62" s="18" t="n">
        <v>0.68765072</v>
      </c>
      <c r="R62" s="20" t="n">
        <v>0.48864477</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(2539.0/B66*100)</f>
        <v/>
      </c>
      <c r="D66" s="19" t="n">
        <v>355</v>
      </c>
      <c r="E66" s="18" t="n">
        <v>63.41062864</v>
      </c>
      <c r="F66" s="20" t="n">
        <v>2.51110642</v>
      </c>
      <c r="G66" s="18" t="n">
        <v>32.91194219</v>
      </c>
      <c r="H66" s="20" t="n">
        <v>2.42270744</v>
      </c>
      <c r="I66" s="18" t="s">
        <v>349</v>
      </c>
      <c r="J66" s="20" t="s">
        <v>349</v>
      </c>
      <c r="K66" s="18" t="n">
        <v>0.28567133</v>
      </c>
      <c r="L66" s="20" t="n">
        <v>0.28607133</v>
      </c>
      <c r="M66" s="18" t="n">
        <v>0</v>
      </c>
      <c r="N66" s="20" t="n">
        <v>0</v>
      </c>
      <c r="O66" s="18" t="n">
        <v>0</v>
      </c>
      <c r="P66" s="20" t="n">
        <v>0</v>
      </c>
      <c r="Q66" s="18" t="n">
        <v>3.39175784</v>
      </c>
      <c r="R66" s="20" t="n">
        <v>0.8602298</v>
      </c>
    </row>
    <row r="67" spans="1:18">
      <c r="A67" s="15" t="s">
        <v>409</v>
      </c>
      <c r="B67" s="17" t="n">
        <v>3511</v>
      </c>
      <c r="C67" s="18">
        <f>(3106.0/B67*100)</f>
        <v/>
      </c>
      <c r="D67" s="19" t="n">
        <v>405</v>
      </c>
      <c r="E67" s="18" t="n">
        <v>80.90499659</v>
      </c>
      <c r="F67" s="20" t="n">
        <v>2.15888804</v>
      </c>
      <c r="G67" s="18" t="n">
        <v>18.32786297</v>
      </c>
      <c r="H67" s="20" t="n">
        <v>2.150314</v>
      </c>
      <c r="I67" s="18" t="s">
        <v>349</v>
      </c>
      <c r="J67" s="20" t="s">
        <v>349</v>
      </c>
      <c r="K67" s="18" t="n">
        <v>0</v>
      </c>
      <c r="L67" s="20" t="n">
        <v>0</v>
      </c>
      <c r="M67" s="18" t="n">
        <v>0</v>
      </c>
      <c r="N67" s="20" t="n">
        <v>0</v>
      </c>
      <c r="O67" s="18" t="n">
        <v>0</v>
      </c>
      <c r="P67" s="20" t="n">
        <v>0</v>
      </c>
      <c r="Q67" s="18" t="n">
        <v>0.76714044</v>
      </c>
      <c r="R67" s="20" t="n">
        <v>0.46804075</v>
      </c>
    </row>
    <row r="68" spans="1:18">
      <c r="A68" s="15" t="s">
        <v>410</v>
      </c>
      <c r="B68" s="17" t="n">
        <v>6049</v>
      </c>
      <c r="C68" s="18">
        <f>(5034.0/B68*100)</f>
        <v/>
      </c>
      <c r="D68" s="19" t="n">
        <v>1015</v>
      </c>
      <c r="E68" s="18" t="n">
        <v>72.94904452</v>
      </c>
      <c r="F68" s="20" t="n">
        <v>1.22844855</v>
      </c>
      <c r="G68" s="18" t="n">
        <v>23.70869505</v>
      </c>
      <c r="H68" s="20" t="n">
        <v>1.20910209</v>
      </c>
      <c r="I68" s="18" t="s">
        <v>349</v>
      </c>
      <c r="J68" s="20" t="s">
        <v>349</v>
      </c>
      <c r="K68" s="18" t="n">
        <v>1.14352775</v>
      </c>
      <c r="L68" s="20" t="n">
        <v>0.32519719</v>
      </c>
      <c r="M68" s="18" t="n">
        <v>0</v>
      </c>
      <c r="N68" s="20" t="n">
        <v>0</v>
      </c>
      <c r="O68" s="18" t="n">
        <v>0</v>
      </c>
      <c r="P68" s="20" t="n">
        <v>0</v>
      </c>
      <c r="Q68" s="18" t="n">
        <v>2.19873267</v>
      </c>
      <c r="R68" s="20" t="n">
        <v>0.47179837</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(2572.0/B70*100)</f>
        <v/>
      </c>
      <c r="D70" s="19" t="n">
        <v>357</v>
      </c>
      <c r="E70" s="18" t="n">
        <v>55.66108945</v>
      </c>
      <c r="F70" s="20" t="n">
        <v>2.79111991</v>
      </c>
      <c r="G70" s="18" t="n">
        <v>43.88927265</v>
      </c>
      <c r="H70" s="20" t="n">
        <v>2.78230499</v>
      </c>
      <c r="I70" s="18" t="s">
        <v>349</v>
      </c>
      <c r="J70" s="20" t="s">
        <v>349</v>
      </c>
      <c r="K70" s="18" t="n">
        <v>0</v>
      </c>
      <c r="L70" s="20" t="n">
        <v>0</v>
      </c>
      <c r="M70" s="18" t="n">
        <v>0</v>
      </c>
      <c r="N70" s="20" t="n">
        <v>0</v>
      </c>
      <c r="O70" s="18" t="n">
        <v>0</v>
      </c>
      <c r="P70" s="20" t="n">
        <v>0</v>
      </c>
      <c r="Q70" s="18" t="n">
        <v>0.4496379</v>
      </c>
      <c r="R70" s="20" t="n">
        <v>0.31460294</v>
      </c>
    </row>
    <row r="71" spans="1:18">
      <c r="A71" s="15" t="s">
        <v>413</v>
      </c>
      <c r="B71" s="17" t="n">
        <v>3142</v>
      </c>
      <c r="C71" s="18">
        <f>(2755.0/B71*100)</f>
        <v/>
      </c>
      <c r="D71" s="19" t="n">
        <v>387</v>
      </c>
      <c r="E71" s="18" t="n">
        <v>36.79577747</v>
      </c>
      <c r="F71" s="20" t="n">
        <v>2.66046871</v>
      </c>
      <c r="G71" s="18" t="n">
        <v>62.1832823</v>
      </c>
      <c r="H71" s="20" t="n">
        <v>2.66982564</v>
      </c>
      <c r="I71" s="18" t="s">
        <v>349</v>
      </c>
      <c r="J71" s="20" t="s">
        <v>349</v>
      </c>
      <c r="K71" s="18" t="n">
        <v>0.27329043</v>
      </c>
      <c r="L71" s="20" t="n">
        <v>0.25921558</v>
      </c>
      <c r="M71" s="18" t="n">
        <v>0</v>
      </c>
      <c r="N71" s="20" t="n">
        <v>0</v>
      </c>
      <c r="O71" s="18" t="n">
        <v>0</v>
      </c>
      <c r="P71" s="20" t="n">
        <v>0</v>
      </c>
      <c r="Q71" s="18" t="n">
        <v>0.7476498</v>
      </c>
      <c r="R71" s="20" t="n">
        <v>0.43335561</v>
      </c>
    </row>
    <row r="72" spans="1:18">
      <c r="A72" s="15" t="s">
        <v>414</v>
      </c>
      <c r="B72" s="17" t="n">
        <v>3889</v>
      </c>
      <c r="C72" s="18">
        <f>(3408.0/B72*100)</f>
        <v/>
      </c>
      <c r="D72" s="19" t="n">
        <v>481</v>
      </c>
      <c r="E72" s="18" t="n">
        <v>29.43984294</v>
      </c>
      <c r="F72" s="20" t="n">
        <v>2.03501218</v>
      </c>
      <c r="G72" s="18" t="n">
        <v>70.07166472999999</v>
      </c>
      <c r="H72" s="20" t="n">
        <v>2.02458443</v>
      </c>
      <c r="I72" s="18" t="s">
        <v>349</v>
      </c>
      <c r="J72" s="20" t="s">
        <v>349</v>
      </c>
      <c r="K72" s="18" t="n">
        <v>0.14151252</v>
      </c>
      <c r="L72" s="20" t="n">
        <v>0.1412392</v>
      </c>
      <c r="M72" s="18" t="n">
        <v>0</v>
      </c>
      <c r="N72" s="20" t="n">
        <v>0</v>
      </c>
      <c r="O72" s="18" t="n">
        <v>0</v>
      </c>
      <c r="P72" s="20" t="n">
        <v>0</v>
      </c>
      <c r="Q72" s="18" t="n">
        <v>0.34697981</v>
      </c>
      <c r="R72" s="20" t="n">
        <v>0.20538296</v>
      </c>
    </row>
    <row r="73" spans="1:18">
      <c r="A73" s="15" t="s">
        <v>415</v>
      </c>
      <c r="B73" s="17" t="n">
        <v>3597</v>
      </c>
      <c r="C73" s="18">
        <f>(3161.0/B73*100)</f>
        <v/>
      </c>
      <c r="D73" s="19" t="n">
        <v>436</v>
      </c>
      <c r="E73" s="18" t="n">
        <v>72.31448432000001</v>
      </c>
      <c r="F73" s="20" t="n">
        <v>2.34345145</v>
      </c>
      <c r="G73" s="18" t="n">
        <v>27.68551568</v>
      </c>
      <c r="H73" s="20" t="n">
        <v>2.34345145</v>
      </c>
      <c r="I73" s="18" t="s">
        <v>349</v>
      </c>
      <c r="J73" s="20" t="s">
        <v>349</v>
      </c>
      <c r="K73" s="18" t="n">
        <v>0</v>
      </c>
      <c r="L73" s="20" t="n">
        <v>0</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(2114.0/B75*100)</f>
        <v/>
      </c>
      <c r="D75" s="19" t="n">
        <v>292</v>
      </c>
      <c r="E75" s="18" t="n">
        <v>79.91524027</v>
      </c>
      <c r="F75" s="20" t="n">
        <v>2.46764538</v>
      </c>
      <c r="G75" s="18" t="n">
        <v>19.30129026</v>
      </c>
      <c r="H75" s="20" t="n">
        <v>2.38402821</v>
      </c>
      <c r="I75" s="18" t="s">
        <v>349</v>
      </c>
      <c r="J75" s="20" t="s">
        <v>349</v>
      </c>
      <c r="K75" s="18" t="n">
        <v>0</v>
      </c>
      <c r="L75" s="20" t="n">
        <v>0</v>
      </c>
      <c r="M75" s="18" t="n">
        <v>0</v>
      </c>
      <c r="N75" s="20" t="n">
        <v>0</v>
      </c>
      <c r="O75" s="18" t="n">
        <v>0</v>
      </c>
      <c r="P75" s="20" t="n">
        <v>0</v>
      </c>
      <c r="Q75" s="18" t="n">
        <v>0.78346947</v>
      </c>
      <c r="R75" s="20" t="n">
        <v>0.70590212</v>
      </c>
    </row>
    <row r="76" spans="1:18">
      <c r="A76" s="15" t="s">
        <v>418</v>
      </c>
      <c r="B76" s="17" t="n">
        <v>7052</v>
      </c>
      <c r="C76" s="18">
        <f>(6195.0/B76*100)</f>
        <v/>
      </c>
      <c r="D76" s="19" t="n">
        <v>857</v>
      </c>
      <c r="E76" s="18" t="n">
        <v>68.66317651999999</v>
      </c>
      <c r="F76" s="20" t="n">
        <v>1.95507469</v>
      </c>
      <c r="G76" s="18" t="n">
        <v>28.08049497</v>
      </c>
      <c r="H76" s="20" t="n">
        <v>1.83906616</v>
      </c>
      <c r="I76" s="18" t="s">
        <v>349</v>
      </c>
      <c r="J76" s="20" t="s">
        <v>349</v>
      </c>
      <c r="K76" s="18" t="n">
        <v>0.97391388</v>
      </c>
      <c r="L76" s="20" t="n">
        <v>0.37706633</v>
      </c>
      <c r="M76" s="18" t="n">
        <v>0</v>
      </c>
      <c r="N76" s="20" t="n">
        <v>0</v>
      </c>
      <c r="O76" s="18" t="n">
        <v>0</v>
      </c>
      <c r="P76" s="20" t="n">
        <v>0</v>
      </c>
      <c r="Q76" s="18" t="n">
        <v>2.28241463</v>
      </c>
      <c r="R76" s="20" t="n">
        <v>0.77496814</v>
      </c>
    </row>
    <row r="77" spans="1:18">
      <c r="A77" s="15" t="s">
        <v>419</v>
      </c>
      <c r="B77" s="17" t="n">
        <v>2908</v>
      </c>
      <c r="C77" s="18">
        <f>(2533.0/B77*100)</f>
        <v/>
      </c>
      <c r="D77" s="19" t="n">
        <v>375</v>
      </c>
      <c r="E77" s="18" t="n">
        <v>66.84307508000001</v>
      </c>
      <c r="F77" s="20" t="n">
        <v>2.36738756</v>
      </c>
      <c r="G77" s="18" t="n">
        <v>30.00496224</v>
      </c>
      <c r="H77" s="20" t="n">
        <v>2.27828214</v>
      </c>
      <c r="I77" s="18" t="s">
        <v>349</v>
      </c>
      <c r="J77" s="20" t="s">
        <v>349</v>
      </c>
      <c r="K77" s="18" t="n">
        <v>1.04268112</v>
      </c>
      <c r="L77" s="20" t="n">
        <v>0.64854405</v>
      </c>
      <c r="M77" s="18" t="n">
        <v>0</v>
      </c>
      <c r="N77" s="20" t="n">
        <v>0</v>
      </c>
      <c r="O77" s="18" t="n">
        <v>0</v>
      </c>
      <c r="P77" s="20" t="n">
        <v>0</v>
      </c>
      <c r="Q77" s="18" t="n">
        <v>2.10928156</v>
      </c>
      <c r="R77" s="20" t="n">
        <v>0.79831682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70.85876476999999</v>
      </c>
      <c r="F81" s="20" t="n">
        <v>2.46797083</v>
      </c>
      <c r="G81" s="18" t="n">
        <v>28.10049201</v>
      </c>
      <c r="H81" s="20" t="n">
        <v>2.49238594</v>
      </c>
      <c r="I81" s="18" t="s">
        <v>349</v>
      </c>
      <c r="J81" s="20" t="s">
        <v>349</v>
      </c>
      <c r="K81" s="18" t="n">
        <v>0.31144652</v>
      </c>
      <c r="L81" s="20" t="n">
        <v>0.21882427</v>
      </c>
      <c r="M81" s="18" t="n">
        <v>0</v>
      </c>
      <c r="N81" s="20" t="n">
        <v>0</v>
      </c>
      <c r="O81" s="18" t="n">
        <v>0</v>
      </c>
      <c r="P81" s="20" t="n">
        <v>0</v>
      </c>
      <c r="Q81" s="18" t="n">
        <v>0.7292967</v>
      </c>
      <c r="R81" s="20" t="n">
        <v>0.4920629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(6484.0/B7*100)</f>
        <v/>
      </c>
      <c r="D7" s="19" t="n">
        <v>883</v>
      </c>
      <c r="E7" s="18" t="n">
        <v>17.51391673</v>
      </c>
      <c r="F7" s="20" t="n">
        <v>1.73954958</v>
      </c>
      <c r="G7" s="18" t="n">
        <v>78.27583104</v>
      </c>
      <c r="H7" s="20" t="n">
        <v>1.78381957</v>
      </c>
      <c r="I7" s="18" t="s">
        <v>349</v>
      </c>
      <c r="J7" s="20" t="s">
        <v>349</v>
      </c>
      <c r="K7" s="18" t="n">
        <v>0.600943</v>
      </c>
      <c r="L7" s="20" t="n">
        <v>0.30686056</v>
      </c>
      <c r="M7" s="18" t="n">
        <v>0</v>
      </c>
      <c r="N7" s="20" t="n">
        <v>0</v>
      </c>
      <c r="O7" s="18" t="n">
        <v>0</v>
      </c>
      <c r="P7" s="20" t="n">
        <v>0</v>
      </c>
      <c r="Q7" s="18" t="n">
        <v>3.60930923</v>
      </c>
      <c r="R7" s="20" t="n">
        <v>0.77013046</v>
      </c>
    </row>
    <row r="8" spans="1:18">
      <c r="A8" s="15" t="s">
        <v>350</v>
      </c>
      <c r="B8" s="17" t="n">
        <v>3564</v>
      </c>
      <c r="C8" s="18">
        <f>(3099.0/B8*100)</f>
        <v/>
      </c>
      <c r="D8" s="19" t="n">
        <v>465</v>
      </c>
      <c r="E8" s="18" t="n">
        <v>18.19426379</v>
      </c>
      <c r="F8" s="20" t="n">
        <v>2.13275339</v>
      </c>
      <c r="G8" s="18" t="n">
        <v>78.70390024</v>
      </c>
      <c r="H8" s="20" t="n">
        <v>2.27064872</v>
      </c>
      <c r="I8" s="18" t="s">
        <v>349</v>
      </c>
      <c r="J8" s="20" t="s">
        <v>349</v>
      </c>
      <c r="K8" s="18" t="n">
        <v>0.25391063</v>
      </c>
      <c r="L8" s="20" t="n">
        <v>0.24820124</v>
      </c>
      <c r="M8" s="18" t="n">
        <v>0</v>
      </c>
      <c r="N8" s="20" t="n">
        <v>0</v>
      </c>
      <c r="O8" s="18" t="n">
        <v>0</v>
      </c>
      <c r="P8" s="20" t="n">
        <v>0</v>
      </c>
      <c r="Q8" s="18" t="n">
        <v>2.84792534</v>
      </c>
      <c r="R8" s="20" t="n">
        <v>0.84025088</v>
      </c>
    </row>
    <row r="9" spans="1:18">
      <c r="A9" s="15" t="s">
        <v>351</v>
      </c>
      <c r="B9" s="17" t="n">
        <v>4899</v>
      </c>
      <c r="C9" s="18">
        <f>(4315.0/B9*100)</f>
        <v/>
      </c>
      <c r="D9" s="19" t="n">
        <v>584</v>
      </c>
      <c r="E9" s="18" t="n">
        <v>17.54920191</v>
      </c>
      <c r="F9" s="20" t="n">
        <v>1.73843128</v>
      </c>
      <c r="G9" s="18" t="n">
        <v>79.92675422000001</v>
      </c>
      <c r="H9" s="20" t="n">
        <v>1.91021951</v>
      </c>
      <c r="I9" s="18" t="s">
        <v>349</v>
      </c>
      <c r="J9" s="20" t="s">
        <v>349</v>
      </c>
      <c r="K9" s="18" t="n">
        <v>0</v>
      </c>
      <c r="L9" s="20" t="n">
        <v>0</v>
      </c>
      <c r="M9" s="18" t="n">
        <v>0</v>
      </c>
      <c r="N9" s="20" t="n">
        <v>0</v>
      </c>
      <c r="O9" s="18" t="n">
        <v>0</v>
      </c>
      <c r="P9" s="20" t="n">
        <v>0</v>
      </c>
      <c r="Q9" s="18" t="n">
        <v>2.52404387</v>
      </c>
      <c r="R9" s="20" t="n">
        <v>0.74036971</v>
      </c>
    </row>
    <row r="10" spans="1:18">
      <c r="A10" s="15" t="s">
        <v>352</v>
      </c>
      <c r="B10" s="17" t="n">
        <v>10036</v>
      </c>
      <c r="C10" s="18">
        <f>(8810.0/B10*100)</f>
        <v/>
      </c>
      <c r="D10" s="19" t="n">
        <v>1226</v>
      </c>
      <c r="E10" s="18" t="n">
        <v>16.36092194</v>
      </c>
      <c r="F10" s="20" t="n">
        <v>1.36287555</v>
      </c>
      <c r="G10" s="18" t="n">
        <v>82.85244569</v>
      </c>
      <c r="H10" s="20" t="n">
        <v>1.39425233</v>
      </c>
      <c r="I10" s="18" t="s">
        <v>349</v>
      </c>
      <c r="J10" s="20" t="s">
        <v>349</v>
      </c>
      <c r="K10" s="18" t="n">
        <v>0.50211743</v>
      </c>
      <c r="L10" s="20" t="n">
        <v>0.31855894</v>
      </c>
      <c r="M10" s="18" t="n">
        <v>0</v>
      </c>
      <c r="N10" s="20" t="n">
        <v>0</v>
      </c>
      <c r="O10" s="18" t="n">
        <v>0</v>
      </c>
      <c r="P10" s="20" t="n">
        <v>0</v>
      </c>
      <c r="Q10" s="18" t="n">
        <v>0.28451494</v>
      </c>
      <c r="R10" s="20" t="n">
        <v>0.1349785</v>
      </c>
    </row>
    <row r="11" spans="1:18">
      <c r="A11" s="15" t="s">
        <v>353</v>
      </c>
      <c r="B11" s="17" t="n">
        <v>3553</v>
      </c>
      <c r="C11" s="18">
        <f>(3107.0/B11*100)</f>
        <v/>
      </c>
      <c r="D11" s="19" t="n">
        <v>446</v>
      </c>
      <c r="E11" s="18" t="n">
        <v>23.93820011</v>
      </c>
      <c r="F11" s="20" t="n">
        <v>2.57608597</v>
      </c>
      <c r="G11" s="18" t="n">
        <v>73.21206366</v>
      </c>
      <c r="H11" s="20" t="n">
        <v>2.67925579</v>
      </c>
      <c r="I11" s="18" t="s">
        <v>349</v>
      </c>
      <c r="J11" s="20" t="s">
        <v>349</v>
      </c>
      <c r="K11" s="18" t="n">
        <v>0</v>
      </c>
      <c r="L11" s="20" t="n">
        <v>0</v>
      </c>
      <c r="M11" s="18" t="n">
        <v>0</v>
      </c>
      <c r="N11" s="20" t="n">
        <v>0</v>
      </c>
      <c r="O11" s="18" t="n">
        <v>0</v>
      </c>
      <c r="P11" s="20" t="n">
        <v>0</v>
      </c>
      <c r="Q11" s="18" t="n">
        <v>2.84973623</v>
      </c>
      <c r="R11" s="20" t="n">
        <v>0.87253179</v>
      </c>
    </row>
    <row r="12" spans="1:18">
      <c r="A12" s="15" t="s">
        <v>354</v>
      </c>
      <c r="B12" s="17" t="n">
        <v>3472</v>
      </c>
      <c r="C12" s="18">
        <f>(3044.0/B12*100)</f>
        <v/>
      </c>
      <c r="D12" s="19" t="n">
        <v>428</v>
      </c>
      <c r="E12" s="18" t="n">
        <v>18.44829091</v>
      </c>
      <c r="F12" s="20" t="n">
        <v>2.44715479</v>
      </c>
      <c r="G12" s="18" t="n">
        <v>80.56713301000001</v>
      </c>
      <c r="H12" s="20" t="n">
        <v>2.60120514</v>
      </c>
      <c r="I12" s="18" t="s">
        <v>349</v>
      </c>
      <c r="J12" s="20" t="s">
        <v>349</v>
      </c>
      <c r="K12" s="18" t="n">
        <v>0.32206778</v>
      </c>
      <c r="L12" s="20" t="n">
        <v>0.52541808</v>
      </c>
      <c r="M12" s="18" t="n">
        <v>0</v>
      </c>
      <c r="N12" s="20" t="n">
        <v>0</v>
      </c>
      <c r="O12" s="18" t="n">
        <v>0</v>
      </c>
      <c r="P12" s="20" t="n">
        <v>0</v>
      </c>
      <c r="Q12" s="18" t="n">
        <v>0.6625083</v>
      </c>
      <c r="R12" s="20" t="n">
        <v>0.47600159</v>
      </c>
    </row>
    <row r="13" spans="1:18">
      <c r="A13" s="15" t="s">
        <v>355</v>
      </c>
      <c r="B13" s="17" t="n">
        <v>3559</v>
      </c>
      <c r="C13" s="18">
        <f>(3126.0/B13*100)</f>
        <v/>
      </c>
      <c r="D13" s="19" t="n">
        <v>433</v>
      </c>
      <c r="E13" s="18" t="n">
        <v>18.93179587</v>
      </c>
      <c r="F13" s="20" t="n">
        <v>2.06902963</v>
      </c>
      <c r="G13" s="18" t="n">
        <v>80.11198809</v>
      </c>
      <c r="H13" s="20" t="n">
        <v>2.059241</v>
      </c>
      <c r="I13" s="18" t="s">
        <v>349</v>
      </c>
      <c r="J13" s="20" t="s">
        <v>349</v>
      </c>
      <c r="K13" s="18" t="n">
        <v>0.28287454</v>
      </c>
      <c r="L13" s="20" t="n">
        <v>0.25201213</v>
      </c>
      <c r="M13" s="18" t="n">
        <v>0</v>
      </c>
      <c r="N13" s="20" t="n">
        <v>0</v>
      </c>
      <c r="O13" s="18" t="n">
        <v>0</v>
      </c>
      <c r="P13" s="20" t="n">
        <v>0</v>
      </c>
      <c r="Q13" s="18" t="n">
        <v>0.6733415</v>
      </c>
      <c r="R13" s="20" t="n">
        <v>0.33053034</v>
      </c>
    </row>
    <row r="14" spans="1:18">
      <c r="A14" s="15" t="s">
        <v>356</v>
      </c>
      <c r="B14" s="17" t="n">
        <v>2799</v>
      </c>
      <c r="C14" s="18">
        <f>(2468.0/B14*100)</f>
        <v/>
      </c>
      <c r="D14" s="19" t="n">
        <v>331</v>
      </c>
      <c r="E14" s="18" t="n">
        <v>19.01138993</v>
      </c>
      <c r="F14" s="20" t="n">
        <v>2.39275856</v>
      </c>
      <c r="G14" s="18" t="n">
        <v>79.38197083999999</v>
      </c>
      <c r="H14" s="20" t="n">
        <v>2.46743807</v>
      </c>
      <c r="I14" s="18" t="s">
        <v>349</v>
      </c>
      <c r="J14" s="20" t="s">
        <v>349</v>
      </c>
      <c r="K14" s="18" t="n">
        <v>0</v>
      </c>
      <c r="L14" s="20" t="n">
        <v>0</v>
      </c>
      <c r="M14" s="18" t="n">
        <v>0</v>
      </c>
      <c r="N14" s="20" t="n">
        <v>0</v>
      </c>
      <c r="O14" s="18" t="n">
        <v>0</v>
      </c>
      <c r="P14" s="20" t="n">
        <v>0</v>
      </c>
      <c r="Q14" s="18" t="n">
        <v>1.60663923</v>
      </c>
      <c r="R14" s="20" t="n">
        <v>0.79104018</v>
      </c>
    </row>
    <row r="15" spans="1:18">
      <c r="A15" s="15" t="s">
        <v>357</v>
      </c>
      <c r="B15" s="17" t="n">
        <v>3019</v>
      </c>
      <c r="C15" s="18">
        <f>(2644.0/B15*100)</f>
        <v/>
      </c>
      <c r="D15" s="19" t="n">
        <v>375</v>
      </c>
      <c r="E15" s="18" t="n">
        <v>22.49628661</v>
      </c>
      <c r="F15" s="20" t="n">
        <v>1.84883027</v>
      </c>
      <c r="G15" s="18" t="n">
        <v>75.64371973999999</v>
      </c>
      <c r="H15" s="20" t="n">
        <v>2.00311714</v>
      </c>
      <c r="I15" s="18" t="s">
        <v>349</v>
      </c>
      <c r="J15" s="20" t="s">
        <v>349</v>
      </c>
      <c r="K15" s="18" t="n">
        <v>0</v>
      </c>
      <c r="L15" s="20" t="n">
        <v>0</v>
      </c>
      <c r="M15" s="18" t="n">
        <v>0</v>
      </c>
      <c r="N15" s="20" t="n">
        <v>0</v>
      </c>
      <c r="O15" s="18" t="n">
        <v>0</v>
      </c>
      <c r="P15" s="20" t="n">
        <v>0</v>
      </c>
      <c r="Q15" s="18" t="n">
        <v>1.85999364</v>
      </c>
      <c r="R15" s="20" t="n">
        <v>0.67931482</v>
      </c>
    </row>
    <row r="16" spans="1:18">
      <c r="A16" s="15" t="s">
        <v>358</v>
      </c>
      <c r="B16" s="17" t="n">
        <v>2997</v>
      </c>
      <c r="C16" s="18">
        <f>(2619.0/B16*100)</f>
        <v/>
      </c>
      <c r="D16" s="19" t="n">
        <v>378</v>
      </c>
      <c r="E16" s="18" t="n">
        <v>20.71939042</v>
      </c>
      <c r="F16" s="20" t="n">
        <v>2.01008182</v>
      </c>
      <c r="G16" s="18" t="n">
        <v>76.51347917</v>
      </c>
      <c r="H16" s="20" t="n">
        <v>2.0699676</v>
      </c>
      <c r="I16" s="18" t="s">
        <v>349</v>
      </c>
      <c r="J16" s="20" t="s">
        <v>349</v>
      </c>
      <c r="K16" s="18" t="n">
        <v>0.27855467</v>
      </c>
      <c r="L16" s="20" t="n">
        <v>0.28015435</v>
      </c>
      <c r="M16" s="18" t="n">
        <v>0</v>
      </c>
      <c r="N16" s="20" t="n">
        <v>0</v>
      </c>
      <c r="O16" s="18" t="n">
        <v>0</v>
      </c>
      <c r="P16" s="20" t="n">
        <v>0</v>
      </c>
      <c r="Q16" s="18" t="n">
        <v>2.48857574</v>
      </c>
      <c r="R16" s="20" t="n">
        <v>1.00972003</v>
      </c>
    </row>
    <row r="17" spans="1:18">
      <c r="A17" s="15" t="s">
        <v>359</v>
      </c>
      <c r="B17" s="17" t="n">
        <v>3307</v>
      </c>
      <c r="C17" s="18">
        <f>(2884.0/B17*100)</f>
        <v/>
      </c>
      <c r="D17" s="19" t="n">
        <v>423</v>
      </c>
      <c r="E17" s="18" t="n">
        <v>14.59239145</v>
      </c>
      <c r="F17" s="20" t="n">
        <v>1.78462033</v>
      </c>
      <c r="G17" s="18" t="n">
        <v>81.89014211999999</v>
      </c>
      <c r="H17" s="20" t="n">
        <v>1.77554516</v>
      </c>
      <c r="I17" s="18" t="s">
        <v>349</v>
      </c>
      <c r="J17" s="20" t="s">
        <v>349</v>
      </c>
      <c r="K17" s="18" t="n">
        <v>0</v>
      </c>
      <c r="L17" s="20" t="n">
        <v>0</v>
      </c>
      <c r="M17" s="18" t="n">
        <v>0</v>
      </c>
      <c r="N17" s="20" t="n">
        <v>0</v>
      </c>
      <c r="O17" s="18" t="n">
        <v>0</v>
      </c>
      <c r="P17" s="20" t="n">
        <v>0</v>
      </c>
      <c r="Q17" s="18" t="n">
        <v>3.51746643</v>
      </c>
      <c r="R17" s="20" t="n">
        <v>1.09455206</v>
      </c>
    </row>
    <row r="18" spans="1:18">
      <c r="A18" s="15" t="s">
        <v>360</v>
      </c>
      <c r="B18" s="17" t="n">
        <v>2826</v>
      </c>
      <c r="C18" s="18">
        <f>(2480.0/B18*100)</f>
        <v/>
      </c>
      <c r="D18" s="19" t="n">
        <v>346</v>
      </c>
      <c r="E18" s="18" t="n">
        <v>35.08340347</v>
      </c>
      <c r="F18" s="20" t="n">
        <v>2.89497105</v>
      </c>
      <c r="G18" s="18" t="n">
        <v>62.01197532</v>
      </c>
      <c r="H18" s="20" t="n">
        <v>2.84647255</v>
      </c>
      <c r="I18" s="18" t="s">
        <v>349</v>
      </c>
      <c r="J18" s="20" t="s">
        <v>349</v>
      </c>
      <c r="K18" s="18" t="n">
        <v>0</v>
      </c>
      <c r="L18" s="20" t="n">
        <v>0</v>
      </c>
      <c r="M18" s="18" t="n">
        <v>0</v>
      </c>
      <c r="N18" s="20" t="n">
        <v>0</v>
      </c>
      <c r="O18" s="18" t="n">
        <v>0</v>
      </c>
      <c r="P18" s="20" t="n">
        <v>0</v>
      </c>
      <c r="Q18" s="18" t="n">
        <v>2.90462122</v>
      </c>
      <c r="R18" s="20" t="n">
        <v>0.87663134</v>
      </c>
    </row>
    <row r="19" spans="1:18">
      <c r="A19" s="15" t="s">
        <v>361</v>
      </c>
      <c r="B19" s="17" t="n">
        <v>2808</v>
      </c>
      <c r="C19" s="18">
        <f>(2466.0/B19*100)</f>
        <v/>
      </c>
      <c r="D19" s="19" t="n">
        <v>342</v>
      </c>
      <c r="E19" s="18" t="n">
        <v>27.94612626</v>
      </c>
      <c r="F19" s="20" t="n">
        <v>2.69634195</v>
      </c>
      <c r="G19" s="18" t="n">
        <v>69.0004448</v>
      </c>
      <c r="H19" s="20" t="n">
        <v>2.81813305</v>
      </c>
      <c r="I19" s="18" t="s">
        <v>349</v>
      </c>
      <c r="J19" s="20" t="s">
        <v>349</v>
      </c>
      <c r="K19" s="18" t="n">
        <v>0.22901922</v>
      </c>
      <c r="L19" s="20" t="n">
        <v>0.23294323</v>
      </c>
      <c r="M19" s="18" t="n">
        <v>0</v>
      </c>
      <c r="N19" s="20" t="n">
        <v>0</v>
      </c>
      <c r="O19" s="18" t="n">
        <v>0</v>
      </c>
      <c r="P19" s="20" t="n">
        <v>0</v>
      </c>
      <c r="Q19" s="18" t="n">
        <v>2.82440972</v>
      </c>
      <c r="R19" s="20" t="n">
        <v>0.9850086300000001</v>
      </c>
    </row>
    <row r="20" spans="1:18">
      <c r="A20" s="15" t="s">
        <v>362</v>
      </c>
      <c r="B20" s="17" t="n">
        <v>1630</v>
      </c>
      <c r="C20" s="18">
        <f>(1423.0/B20*100)</f>
        <v/>
      </c>
      <c r="D20" s="19" t="n">
        <v>207</v>
      </c>
      <c r="E20" s="18" t="n">
        <v>25.44884258</v>
      </c>
      <c r="F20" s="20" t="n">
        <v>2.93741594</v>
      </c>
      <c r="G20" s="18" t="n">
        <v>71.78881440000001</v>
      </c>
      <c r="H20" s="20" t="n">
        <v>2.83847741</v>
      </c>
      <c r="I20" s="18" t="s">
        <v>349</v>
      </c>
      <c r="J20" s="20" t="s">
        <v>349</v>
      </c>
      <c r="K20" s="18" t="n">
        <v>0.45773268</v>
      </c>
      <c r="L20" s="20" t="n">
        <v>0.45955128</v>
      </c>
      <c r="M20" s="18" t="n">
        <v>0</v>
      </c>
      <c r="N20" s="20" t="n">
        <v>0</v>
      </c>
      <c r="O20" s="18" t="n">
        <v>0</v>
      </c>
      <c r="P20" s="20" t="n">
        <v>0</v>
      </c>
      <c r="Q20" s="18" t="n">
        <v>2.30461034</v>
      </c>
      <c r="R20" s="20" t="n">
        <v>1.05275454</v>
      </c>
    </row>
    <row r="21" spans="1:18">
      <c r="A21" s="15" t="s">
        <v>363</v>
      </c>
      <c r="B21" s="17" t="n">
        <v>2908</v>
      </c>
      <c r="C21" s="18">
        <f>(2407.0/B21*100)</f>
        <v/>
      </c>
      <c r="D21" s="19" t="n">
        <v>501</v>
      </c>
      <c r="E21" s="18" t="n">
        <v>18.03885213</v>
      </c>
      <c r="F21" s="20" t="n">
        <v>1.76428781</v>
      </c>
      <c r="G21" s="18" t="n">
        <v>80.4031543</v>
      </c>
      <c r="H21" s="20" t="n">
        <v>1.83459788</v>
      </c>
      <c r="I21" s="18" t="s">
        <v>349</v>
      </c>
      <c r="J21" s="20" t="s">
        <v>349</v>
      </c>
      <c r="K21" s="18" t="n">
        <v>0.5048635299999999</v>
      </c>
      <c r="L21" s="20" t="n">
        <v>0.35819752</v>
      </c>
      <c r="M21" s="18" t="n">
        <v>0</v>
      </c>
      <c r="N21" s="20" t="n">
        <v>0</v>
      </c>
      <c r="O21" s="18" t="n">
        <v>0</v>
      </c>
      <c r="P21" s="20" t="n">
        <v>0</v>
      </c>
      <c r="Q21" s="18" t="n">
        <v>1.05313005</v>
      </c>
      <c r="R21" s="20" t="n">
        <v>0.47176018</v>
      </c>
    </row>
    <row r="22" spans="1:18">
      <c r="A22" s="15" t="s">
        <v>364</v>
      </c>
      <c r="B22" s="17" t="n">
        <v>2931</v>
      </c>
      <c r="C22" s="18">
        <f>(2560.0/B22*100)</f>
        <v/>
      </c>
      <c r="D22" s="19" t="n">
        <v>371</v>
      </c>
      <c r="E22" s="18" t="n">
        <v>27.69471091</v>
      </c>
      <c r="F22" s="20" t="n">
        <v>2.89625404</v>
      </c>
      <c r="G22" s="18" t="n">
        <v>64.48107659999999</v>
      </c>
      <c r="H22" s="20" t="n">
        <v>3.11657131</v>
      </c>
      <c r="I22" s="18" t="s">
        <v>349</v>
      </c>
      <c r="J22" s="20" t="s">
        <v>349</v>
      </c>
      <c r="K22" s="18" t="n">
        <v>1.39898558</v>
      </c>
      <c r="L22" s="20" t="n">
        <v>0.8291818399999999</v>
      </c>
      <c r="M22" s="18" t="n">
        <v>0</v>
      </c>
      <c r="N22" s="20" t="n">
        <v>0</v>
      </c>
      <c r="O22" s="18" t="n">
        <v>0</v>
      </c>
      <c r="P22" s="20" t="n">
        <v>0</v>
      </c>
      <c r="Q22" s="18" t="n">
        <v>6.42522691</v>
      </c>
      <c r="R22" s="20" t="n">
        <v>1.73550051</v>
      </c>
    </row>
    <row r="23" spans="1:18">
      <c r="A23" s="15" t="s">
        <v>365</v>
      </c>
      <c r="B23" s="17" t="n">
        <v>5791</v>
      </c>
      <c r="C23" s="18">
        <f>(5088.0/B23*100)</f>
        <v/>
      </c>
      <c r="D23" s="19" t="n">
        <v>703</v>
      </c>
      <c r="E23" s="18" t="n">
        <v>26.01043324</v>
      </c>
      <c r="F23" s="20" t="n">
        <v>2.12609096</v>
      </c>
      <c r="G23" s="18" t="n">
        <v>70.20421818</v>
      </c>
      <c r="H23" s="20" t="n">
        <v>2.2495351</v>
      </c>
      <c r="I23" s="18" t="s">
        <v>349</v>
      </c>
      <c r="J23" s="20" t="s">
        <v>349</v>
      </c>
      <c r="K23" s="18" t="n">
        <v>0.46192988</v>
      </c>
      <c r="L23" s="20" t="n">
        <v>0.3365966</v>
      </c>
      <c r="M23" s="18" t="n">
        <v>0</v>
      </c>
      <c r="N23" s="20" t="n">
        <v>0</v>
      </c>
      <c r="O23" s="18" t="n">
        <v>0</v>
      </c>
      <c r="P23" s="20" t="n">
        <v>0</v>
      </c>
      <c r="Q23" s="18" t="n">
        <v>3.3234187</v>
      </c>
      <c r="R23" s="20" t="n">
        <v>1.00833825</v>
      </c>
    </row>
    <row r="24" spans="1:18">
      <c r="A24" s="15" t="s">
        <v>366</v>
      </c>
      <c r="B24" s="17" t="n">
        <v>3338</v>
      </c>
      <c r="C24" s="18">
        <f>(2939.0/B24*100)</f>
        <v/>
      </c>
      <c r="D24" s="19" t="n">
        <v>399</v>
      </c>
      <c r="E24" s="18" t="n">
        <v>12.40309294</v>
      </c>
      <c r="F24" s="20" t="n">
        <v>1.70478359</v>
      </c>
      <c r="G24" s="18" t="n">
        <v>86.95826284</v>
      </c>
      <c r="H24" s="20" t="n">
        <v>1.66564959</v>
      </c>
      <c r="I24" s="18" t="s">
        <v>349</v>
      </c>
      <c r="J24" s="20" t="s">
        <v>349</v>
      </c>
      <c r="K24" s="18" t="n">
        <v>0.23129508</v>
      </c>
      <c r="L24" s="20" t="n">
        <v>0.23302619</v>
      </c>
      <c r="M24" s="18" t="n">
        <v>0</v>
      </c>
      <c r="N24" s="20" t="n">
        <v>0</v>
      </c>
      <c r="O24" s="18" t="n">
        <v>0</v>
      </c>
      <c r="P24" s="20" t="n">
        <v>0</v>
      </c>
      <c r="Q24" s="18" t="n">
        <v>0.40734914</v>
      </c>
      <c r="R24" s="20" t="n">
        <v>0.28813249</v>
      </c>
    </row>
    <row r="25" spans="1:18">
      <c r="A25" s="15" t="s">
        <v>367</v>
      </c>
      <c r="B25" s="17" t="n">
        <v>2912</v>
      </c>
      <c r="C25" s="18">
        <f>(2558.0/B25*100)</f>
        <v/>
      </c>
      <c r="D25" s="19" t="n">
        <v>354</v>
      </c>
      <c r="E25" s="18" t="n">
        <v>23.78681957</v>
      </c>
      <c r="F25" s="20" t="n">
        <v>2.62803699</v>
      </c>
      <c r="G25" s="18" t="n">
        <v>74.79316527</v>
      </c>
      <c r="H25" s="20" t="n">
        <v>2.72888432</v>
      </c>
      <c r="I25" s="18" t="s">
        <v>349</v>
      </c>
      <c r="J25" s="20" t="s">
        <v>349</v>
      </c>
      <c r="K25" s="18" t="n">
        <v>0.29122747</v>
      </c>
      <c r="L25" s="20" t="n">
        <v>0.29417428</v>
      </c>
      <c r="M25" s="18" t="n">
        <v>0</v>
      </c>
      <c r="N25" s="20" t="n">
        <v>0</v>
      </c>
      <c r="O25" s="18" t="n">
        <v>0</v>
      </c>
      <c r="P25" s="20" t="n">
        <v>0</v>
      </c>
      <c r="Q25" s="18" t="n">
        <v>1.1287877</v>
      </c>
      <c r="R25" s="20" t="n">
        <v>0.55215819</v>
      </c>
    </row>
    <row r="26" spans="1:18">
      <c r="A26" s="15" t="s">
        <v>368</v>
      </c>
      <c r="B26" s="17" t="n">
        <v>2450</v>
      </c>
      <c r="C26" s="18">
        <f>(2151.0/B26*100)</f>
        <v/>
      </c>
      <c r="D26" s="19" t="n">
        <v>299</v>
      </c>
      <c r="E26" s="18" t="n">
        <v>30.41444143</v>
      </c>
      <c r="F26" s="20" t="n">
        <v>2.73956618</v>
      </c>
      <c r="G26" s="18" t="n">
        <v>67.74780196</v>
      </c>
      <c r="H26" s="20" t="n">
        <v>2.85608941</v>
      </c>
      <c r="I26" s="18" t="s">
        <v>349</v>
      </c>
      <c r="J26" s="20" t="s">
        <v>349</v>
      </c>
      <c r="K26" s="18" t="n">
        <v>0</v>
      </c>
      <c r="L26" s="20" t="n">
        <v>0</v>
      </c>
      <c r="M26" s="18" t="n">
        <v>0</v>
      </c>
      <c r="N26" s="20" t="n">
        <v>0</v>
      </c>
      <c r="O26" s="18" t="n">
        <v>0</v>
      </c>
      <c r="P26" s="20" t="n">
        <v>0</v>
      </c>
      <c r="Q26" s="18" t="n">
        <v>1.83775661</v>
      </c>
      <c r="R26" s="20" t="n">
        <v>0.93615595</v>
      </c>
    </row>
    <row r="27" spans="1:18">
      <c r="A27" s="15" t="s">
        <v>369</v>
      </c>
      <c r="B27" s="17" t="n">
        <v>2616</v>
      </c>
      <c r="C27" s="18">
        <f>(2296.0/B27*100)</f>
        <v/>
      </c>
      <c r="D27" s="19" t="n">
        <v>320</v>
      </c>
      <c r="E27" s="18" t="n">
        <v>23.38327134</v>
      </c>
      <c r="F27" s="20" t="n">
        <v>2.02191382</v>
      </c>
      <c r="G27" s="18" t="n">
        <v>74.08179858</v>
      </c>
      <c r="H27" s="20" t="n">
        <v>2.16401828</v>
      </c>
      <c r="I27" s="18" t="s">
        <v>349</v>
      </c>
      <c r="J27" s="20" t="s">
        <v>349</v>
      </c>
      <c r="K27" s="18" t="n">
        <v>0</v>
      </c>
      <c r="L27" s="20" t="n">
        <v>0</v>
      </c>
      <c r="M27" s="18" t="n">
        <v>0</v>
      </c>
      <c r="N27" s="20" t="n">
        <v>0</v>
      </c>
      <c r="O27" s="18" t="n">
        <v>0</v>
      </c>
      <c r="P27" s="20" t="n">
        <v>0</v>
      </c>
      <c r="Q27" s="18" t="n">
        <v>2.53493008</v>
      </c>
      <c r="R27" s="20" t="n">
        <v>0.9943143800000001</v>
      </c>
    </row>
    <row r="28" spans="1:18">
      <c r="A28" s="15" t="s">
        <v>370</v>
      </c>
      <c r="B28" s="17" t="n">
        <v>3765</v>
      </c>
      <c r="C28" s="18">
        <f>(3283.0/B28*100)</f>
        <v/>
      </c>
      <c r="D28" s="19" t="n">
        <v>482</v>
      </c>
      <c r="E28" s="18" t="n">
        <v>36.30764138</v>
      </c>
      <c r="F28" s="20" t="n">
        <v>2.56753927</v>
      </c>
      <c r="G28" s="18" t="n">
        <v>62.57940413</v>
      </c>
      <c r="H28" s="20" t="n">
        <v>2.54891061</v>
      </c>
      <c r="I28" s="18" t="s">
        <v>349</v>
      </c>
      <c r="J28" s="20" t="s">
        <v>349</v>
      </c>
      <c r="K28" s="18" t="n">
        <v>0.50388155</v>
      </c>
      <c r="L28" s="20" t="n">
        <v>0.39801048</v>
      </c>
      <c r="M28" s="18" t="n">
        <v>0</v>
      </c>
      <c r="N28" s="20" t="n">
        <v>0</v>
      </c>
      <c r="O28" s="18" t="n">
        <v>0</v>
      </c>
      <c r="P28" s="20" t="n">
        <v>0</v>
      </c>
      <c r="Q28" s="18" t="n">
        <v>0.60907294</v>
      </c>
      <c r="R28" s="20" t="n">
        <v>0.39307876</v>
      </c>
    </row>
    <row r="29" spans="1:18">
      <c r="A29" s="15" t="s">
        <v>371</v>
      </c>
      <c r="B29" s="17" t="n">
        <v>2685</v>
      </c>
      <c r="C29" s="18">
        <f>(2405.0/B29*100)</f>
        <v/>
      </c>
      <c r="D29" s="19" t="n">
        <v>280</v>
      </c>
      <c r="E29" s="18" t="n">
        <v>19.23477679</v>
      </c>
      <c r="F29" s="20" t="n">
        <v>2.4599218</v>
      </c>
      <c r="G29" s="18" t="n">
        <v>80.01474005999999</v>
      </c>
      <c r="H29" s="20" t="n">
        <v>2.52895899</v>
      </c>
      <c r="I29" s="18" t="s">
        <v>349</v>
      </c>
      <c r="J29" s="20" t="s">
        <v>349</v>
      </c>
      <c r="K29" s="18" t="n">
        <v>0</v>
      </c>
      <c r="L29" s="20" t="n">
        <v>0</v>
      </c>
      <c r="M29" s="18" t="n">
        <v>0</v>
      </c>
      <c r="N29" s="20" t="n">
        <v>0</v>
      </c>
      <c r="O29" s="18" t="n">
        <v>0</v>
      </c>
      <c r="P29" s="20" t="n">
        <v>0</v>
      </c>
      <c r="Q29" s="18" t="n">
        <v>0.75048315</v>
      </c>
      <c r="R29" s="20" t="n">
        <v>0.5393283</v>
      </c>
    </row>
    <row r="30" spans="1:18">
      <c r="A30" s="15" t="s">
        <v>372</v>
      </c>
      <c r="B30" s="17" t="n">
        <v>2263</v>
      </c>
      <c r="C30" s="18">
        <f>(1993.0/B30*100)</f>
        <v/>
      </c>
      <c r="D30" s="19" t="n">
        <v>270</v>
      </c>
      <c r="E30" s="18" t="n">
        <v>14.77161024</v>
      </c>
      <c r="F30" s="20" t="n">
        <v>2.38747721</v>
      </c>
      <c r="G30" s="18" t="n">
        <v>82.08064514</v>
      </c>
      <c r="H30" s="20" t="n">
        <v>2.55633558</v>
      </c>
      <c r="I30" s="18" t="s">
        <v>349</v>
      </c>
      <c r="J30" s="20" t="s">
        <v>349</v>
      </c>
      <c r="K30" s="18" t="n">
        <v>0</v>
      </c>
      <c r="L30" s="20" t="n">
        <v>0</v>
      </c>
      <c r="M30" s="18" t="n">
        <v>0</v>
      </c>
      <c r="N30" s="20" t="n">
        <v>0</v>
      </c>
      <c r="O30" s="18" t="n">
        <v>0</v>
      </c>
      <c r="P30" s="20" t="n">
        <v>0</v>
      </c>
      <c r="Q30" s="18" t="n">
        <v>3.14774462</v>
      </c>
      <c r="R30" s="20" t="n">
        <v>1.05536704</v>
      </c>
    </row>
    <row r="31" spans="1:18">
      <c r="A31" s="15" t="s">
        <v>373</v>
      </c>
      <c r="B31" s="17" t="n">
        <v>2750</v>
      </c>
      <c r="C31" s="18">
        <f>(2418.0/B31*100)</f>
        <v/>
      </c>
      <c r="D31" s="19" t="n">
        <v>332</v>
      </c>
      <c r="E31" s="18" t="n">
        <v>21.03006027</v>
      </c>
      <c r="F31" s="20" t="n">
        <v>2.47805454</v>
      </c>
      <c r="G31" s="18" t="n">
        <v>75.83131176000001</v>
      </c>
      <c r="H31" s="20" t="n">
        <v>2.5366628</v>
      </c>
      <c r="I31" s="18" t="s">
        <v>349</v>
      </c>
      <c r="J31" s="20" t="s">
        <v>349</v>
      </c>
      <c r="K31" s="18" t="n">
        <v>0.31914922</v>
      </c>
      <c r="L31" s="20" t="n">
        <v>0.30990835</v>
      </c>
      <c r="M31" s="18" t="n">
        <v>0</v>
      </c>
      <c r="N31" s="20" t="n">
        <v>0</v>
      </c>
      <c r="O31" s="18" t="n">
        <v>0</v>
      </c>
      <c r="P31" s="20" t="n">
        <v>0</v>
      </c>
      <c r="Q31" s="18" t="n">
        <v>2.81947875</v>
      </c>
      <c r="R31" s="20" t="n">
        <v>0.75823284</v>
      </c>
    </row>
    <row r="32" spans="1:18">
      <c r="A32" s="15" t="s">
        <v>374</v>
      </c>
      <c r="B32" s="17" t="n">
        <v>2269</v>
      </c>
      <c r="C32" s="18">
        <f>(1853.0/B32*100)</f>
        <v/>
      </c>
      <c r="D32" s="19" t="n">
        <v>416</v>
      </c>
      <c r="E32" s="18" t="n">
        <v>26.96718783</v>
      </c>
      <c r="F32" s="20" t="n">
        <v>2.07113777</v>
      </c>
      <c r="G32" s="18" t="n">
        <v>71.34905684</v>
      </c>
      <c r="H32" s="20" t="n">
        <v>2.0627855</v>
      </c>
      <c r="I32" s="18" t="s">
        <v>349</v>
      </c>
      <c r="J32" s="20" t="s">
        <v>349</v>
      </c>
      <c r="K32" s="18" t="n">
        <v>0</v>
      </c>
      <c r="L32" s="20" t="n">
        <v>0</v>
      </c>
      <c r="M32" s="18" t="n">
        <v>0</v>
      </c>
      <c r="N32" s="20" t="n">
        <v>0</v>
      </c>
      <c r="O32" s="18" t="n">
        <v>0</v>
      </c>
      <c r="P32" s="20" t="n">
        <v>0</v>
      </c>
      <c r="Q32" s="18" t="n">
        <v>1.68375533</v>
      </c>
      <c r="R32" s="20" t="n">
        <v>0.63492752</v>
      </c>
    </row>
    <row r="33" spans="1:18">
      <c r="A33" s="15" t="s">
        <v>375</v>
      </c>
      <c r="B33" s="17" t="n">
        <v>3674</v>
      </c>
      <c r="C33" s="18">
        <f>(3236.0/B33*100)</f>
        <v/>
      </c>
      <c r="D33" s="19" t="n">
        <v>438</v>
      </c>
      <c r="E33" s="18" t="n">
        <v>23.23251944</v>
      </c>
      <c r="F33" s="20" t="n">
        <v>2.65358818</v>
      </c>
      <c r="G33" s="18" t="n">
        <v>74.05142941</v>
      </c>
      <c r="H33" s="20" t="n">
        <v>2.56944878</v>
      </c>
      <c r="I33" s="18" t="s">
        <v>349</v>
      </c>
      <c r="J33" s="20" t="s">
        <v>349</v>
      </c>
      <c r="K33" s="18" t="n">
        <v>0.67946621</v>
      </c>
      <c r="L33" s="20" t="n">
        <v>0.78737528</v>
      </c>
      <c r="M33" s="18" t="n">
        <v>0</v>
      </c>
      <c r="N33" s="20" t="n">
        <v>0</v>
      </c>
      <c r="O33" s="18" t="n">
        <v>0</v>
      </c>
      <c r="P33" s="20" t="n">
        <v>0</v>
      </c>
      <c r="Q33" s="18" t="n">
        <v>2.03658494</v>
      </c>
      <c r="R33" s="20" t="n">
        <v>0.8819552000000001</v>
      </c>
    </row>
    <row r="34" spans="1:18">
      <c r="A34" s="15" t="s">
        <v>376</v>
      </c>
      <c r="B34" s="17" t="n">
        <v>3315</v>
      </c>
      <c r="C34" s="18">
        <f>(2912.0/B34*100)</f>
        <v/>
      </c>
      <c r="D34" s="19" t="n">
        <v>403</v>
      </c>
      <c r="E34" s="18" t="n">
        <v>26.28757365</v>
      </c>
      <c r="F34" s="20" t="n">
        <v>2.36991736</v>
      </c>
      <c r="G34" s="18" t="n">
        <v>71.4881134</v>
      </c>
      <c r="H34" s="20" t="n">
        <v>2.47854198</v>
      </c>
      <c r="I34" s="18" t="s">
        <v>349</v>
      </c>
      <c r="J34" s="20" t="s">
        <v>349</v>
      </c>
      <c r="K34" s="18" t="n">
        <v>0.20166716</v>
      </c>
      <c r="L34" s="20" t="n">
        <v>0.20106571</v>
      </c>
      <c r="M34" s="18" t="n">
        <v>0</v>
      </c>
      <c r="N34" s="20" t="n">
        <v>0</v>
      </c>
      <c r="O34" s="18" t="n">
        <v>0</v>
      </c>
      <c r="P34" s="20" t="n">
        <v>0</v>
      </c>
      <c r="Q34" s="18" t="n">
        <v>2.02264579</v>
      </c>
      <c r="R34" s="20" t="n">
        <v>0.61916854</v>
      </c>
    </row>
    <row r="35" spans="1:18">
      <c r="A35" s="15" t="s">
        <v>377</v>
      </c>
      <c r="B35" s="17" t="n">
        <v>3505</v>
      </c>
      <c r="C35" s="18">
        <f>(3090.0/B35*100)</f>
        <v/>
      </c>
      <c r="D35" s="19" t="n">
        <v>415</v>
      </c>
      <c r="E35" s="18" t="n">
        <v>21.0028376</v>
      </c>
      <c r="F35" s="20" t="n">
        <v>2.05126045</v>
      </c>
      <c r="G35" s="18" t="n">
        <v>78.06310434</v>
      </c>
      <c r="H35" s="20" t="n">
        <v>2.07192625</v>
      </c>
      <c r="I35" s="18" t="s">
        <v>349</v>
      </c>
      <c r="J35" s="20" t="s">
        <v>349</v>
      </c>
      <c r="K35" s="18" t="n">
        <v>0.23195478</v>
      </c>
      <c r="L35" s="20" t="n">
        <v>0.16440335</v>
      </c>
      <c r="M35" s="18" t="n">
        <v>0</v>
      </c>
      <c r="N35" s="20" t="n">
        <v>0</v>
      </c>
      <c r="O35" s="18" t="n">
        <v>0</v>
      </c>
      <c r="P35" s="20" t="n">
        <v>0</v>
      </c>
      <c r="Q35" s="18" t="n">
        <v>0.70210328</v>
      </c>
      <c r="R35" s="20" t="n">
        <v>0.28728698</v>
      </c>
    </row>
    <row r="36" spans="1:18">
      <c r="A36" s="15" t="s">
        <v>378</v>
      </c>
      <c r="B36" s="17" t="n">
        <v>3332</v>
      </c>
      <c r="C36" s="18">
        <f>(2923.0/B36*100)</f>
        <v/>
      </c>
      <c r="D36" s="19" t="n">
        <v>409</v>
      </c>
      <c r="E36" s="18" t="n">
        <v>23.97074713</v>
      </c>
      <c r="F36" s="20" t="n">
        <v>1.72696283</v>
      </c>
      <c r="G36" s="18" t="n">
        <v>73.85689094</v>
      </c>
      <c r="H36" s="20" t="n">
        <v>1.8644718</v>
      </c>
      <c r="I36" s="18" t="s">
        <v>349</v>
      </c>
      <c r="J36" s="20" t="s">
        <v>349</v>
      </c>
      <c r="K36" s="18" t="n">
        <v>0.49561457</v>
      </c>
      <c r="L36" s="20" t="n">
        <v>0.37961941</v>
      </c>
      <c r="M36" s="18" t="n">
        <v>0</v>
      </c>
      <c r="N36" s="20" t="n">
        <v>0</v>
      </c>
      <c r="O36" s="18" t="n">
        <v>0</v>
      </c>
      <c r="P36" s="20" t="n">
        <v>0</v>
      </c>
      <c r="Q36" s="18" t="n">
        <v>1.67674736</v>
      </c>
      <c r="R36" s="20" t="n">
        <v>0.64186532</v>
      </c>
    </row>
    <row r="37" spans="1:18">
      <c r="A37" s="15" t="s">
        <v>379</v>
      </c>
      <c r="B37" s="17" t="n">
        <v>2727</v>
      </c>
      <c r="C37" s="18">
        <f>(2392.0/B37*100)</f>
        <v/>
      </c>
      <c r="D37" s="19" t="n">
        <v>335</v>
      </c>
      <c r="E37" s="18" t="n">
        <v>23.51663135</v>
      </c>
      <c r="F37" s="20" t="n">
        <v>2.50793133</v>
      </c>
      <c r="G37" s="18" t="n">
        <v>71.12741025</v>
      </c>
      <c r="H37" s="20" t="n">
        <v>2.71341015</v>
      </c>
      <c r="I37" s="18" t="s">
        <v>349</v>
      </c>
      <c r="J37" s="20" t="s">
        <v>349</v>
      </c>
      <c r="K37" s="18" t="n">
        <v>0.57335441</v>
      </c>
      <c r="L37" s="20" t="n">
        <v>0.46797563</v>
      </c>
      <c r="M37" s="18" t="n">
        <v>0</v>
      </c>
      <c r="N37" s="20" t="n">
        <v>0</v>
      </c>
      <c r="O37" s="18" t="n">
        <v>0</v>
      </c>
      <c r="P37" s="20" t="n">
        <v>0</v>
      </c>
      <c r="Q37" s="18" t="n">
        <v>4.78260399</v>
      </c>
      <c r="R37" s="20" t="n">
        <v>1.50703765</v>
      </c>
    </row>
    <row r="38" spans="1:18">
      <c r="A38" s="15" t="s">
        <v>380</v>
      </c>
      <c r="B38" s="17" t="n">
        <v>3053</v>
      </c>
      <c r="C38" s="18">
        <f>(2521.0/B38*100)</f>
        <v/>
      </c>
      <c r="D38" s="19" t="n">
        <v>532</v>
      </c>
      <c r="E38" s="18" t="n">
        <v>22.24084044</v>
      </c>
      <c r="F38" s="20" t="n">
        <v>1.96430148</v>
      </c>
      <c r="G38" s="18" t="n">
        <v>73.86890517000001</v>
      </c>
      <c r="H38" s="20" t="n">
        <v>2.22506099</v>
      </c>
      <c r="I38" s="18" t="s">
        <v>349</v>
      </c>
      <c r="J38" s="20" t="s">
        <v>349</v>
      </c>
      <c r="K38" s="18" t="n">
        <v>0.30240421</v>
      </c>
      <c r="L38" s="20" t="n">
        <v>0.23358877</v>
      </c>
      <c r="M38" s="18" t="n">
        <v>0</v>
      </c>
      <c r="N38" s="20" t="n">
        <v>0</v>
      </c>
      <c r="O38" s="18" t="n">
        <v>0</v>
      </c>
      <c r="P38" s="20" t="n">
        <v>0</v>
      </c>
      <c r="Q38" s="18" t="n">
        <v>3.58785019</v>
      </c>
      <c r="R38" s="20" t="n">
        <v>1.02597026</v>
      </c>
    </row>
    <row r="39" spans="1:18">
      <c r="A39" s="15" t="s">
        <v>381</v>
      </c>
      <c r="B39" s="17" t="n">
        <v>2957</v>
      </c>
      <c r="C39" s="18">
        <f>(2614.0/B39*100)</f>
        <v/>
      </c>
      <c r="D39" s="19" t="n">
        <v>343</v>
      </c>
      <c r="E39" s="18" t="n">
        <v>41.95468435</v>
      </c>
      <c r="F39" s="20" t="n">
        <v>3.03179273</v>
      </c>
      <c r="G39" s="18" t="n">
        <v>55.81130575</v>
      </c>
      <c r="H39" s="20" t="n">
        <v>2.90028046</v>
      </c>
      <c r="I39" s="18" t="s">
        <v>349</v>
      </c>
      <c r="J39" s="20" t="s">
        <v>349</v>
      </c>
      <c r="K39" s="18" t="n">
        <v>0</v>
      </c>
      <c r="L39" s="20" t="n">
        <v>0</v>
      </c>
      <c r="M39" s="18" t="n">
        <v>0</v>
      </c>
      <c r="N39" s="20" t="n">
        <v>0</v>
      </c>
      <c r="O39" s="18" t="n">
        <v>0</v>
      </c>
      <c r="P39" s="20" t="n">
        <v>0</v>
      </c>
      <c r="Q39" s="18" t="n">
        <v>2.2340099</v>
      </c>
      <c r="R39" s="20" t="n">
        <v>0.99106823</v>
      </c>
    </row>
    <row r="40" spans="1:18">
      <c r="A40" s="15" t="s">
        <v>382</v>
      </c>
      <c r="B40" s="17" t="n">
        <v>7235</v>
      </c>
      <c r="C40" s="18">
        <f>(6350.0/B40*100)</f>
        <v/>
      </c>
      <c r="D40" s="19" t="n">
        <v>885</v>
      </c>
      <c r="E40" s="18" t="n">
        <v>23.37022559</v>
      </c>
      <c r="F40" s="20" t="n">
        <v>2.44368007</v>
      </c>
      <c r="G40" s="18" t="n">
        <v>73.93999832</v>
      </c>
      <c r="H40" s="20" t="n">
        <v>2.42624393</v>
      </c>
      <c r="I40" s="18" t="s">
        <v>349</v>
      </c>
      <c r="J40" s="20" t="s">
        <v>349</v>
      </c>
      <c r="K40" s="18" t="n">
        <v>0</v>
      </c>
      <c r="L40" s="20" t="n">
        <v>0</v>
      </c>
      <c r="M40" s="18" t="n">
        <v>0</v>
      </c>
      <c r="N40" s="20" t="n">
        <v>0</v>
      </c>
      <c r="O40" s="18" t="n">
        <v>0</v>
      </c>
      <c r="P40" s="20" t="n">
        <v>0</v>
      </c>
      <c r="Q40" s="18" t="n">
        <v>2.6897761</v>
      </c>
      <c r="R40" s="20" t="n">
        <v>1.08524783</v>
      </c>
    </row>
    <row r="41" spans="1:18">
      <c r="A41" s="15" t="s">
        <v>383</v>
      </c>
      <c r="B41" s="17" t="n">
        <v>2858</v>
      </c>
      <c r="C41" s="18">
        <f>(2510.0/B41*100)</f>
        <v/>
      </c>
      <c r="D41" s="19" t="n">
        <v>348</v>
      </c>
      <c r="E41" s="18" t="n">
        <v>24.15149053</v>
      </c>
      <c r="F41" s="20" t="n">
        <v>2.72484438</v>
      </c>
      <c r="G41" s="18" t="n">
        <v>75.38229581</v>
      </c>
      <c r="H41" s="20" t="n">
        <v>2.72993119</v>
      </c>
      <c r="I41" s="18" t="s">
        <v>349</v>
      </c>
      <c r="J41" s="20" t="s">
        <v>349</v>
      </c>
      <c r="K41" s="18" t="n">
        <v>0</v>
      </c>
      <c r="L41" s="20" t="n">
        <v>0</v>
      </c>
      <c r="M41" s="18" t="n">
        <v>0</v>
      </c>
      <c r="N41" s="20" t="n">
        <v>0</v>
      </c>
      <c r="O41" s="18" t="n">
        <v>0</v>
      </c>
      <c r="P41" s="20" t="n">
        <v>0</v>
      </c>
      <c r="Q41" s="18" t="n">
        <v>0.46621366</v>
      </c>
      <c r="R41" s="20" t="n">
        <v>0.31962544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(9803.0/B46*100)</f>
        <v/>
      </c>
      <c r="D46" s="19" t="n">
        <v>1265</v>
      </c>
      <c r="E46" s="18" t="n">
        <v>36.78852579</v>
      </c>
      <c r="F46" s="20" t="n">
        <v>1.73007034</v>
      </c>
      <c r="G46" s="18" t="n">
        <v>56.34763261</v>
      </c>
      <c r="H46" s="20" t="n">
        <v>1.8669436</v>
      </c>
      <c r="I46" s="18" t="s">
        <v>349</v>
      </c>
      <c r="J46" s="20" t="s">
        <v>349</v>
      </c>
      <c r="K46" s="18" t="n">
        <v>0.77388041</v>
      </c>
      <c r="L46" s="20" t="n">
        <v>0.32386405</v>
      </c>
      <c r="M46" s="18" t="n">
        <v>0</v>
      </c>
      <c r="N46" s="20" t="n">
        <v>0</v>
      </c>
      <c r="O46" s="18" t="n">
        <v>0</v>
      </c>
      <c r="P46" s="20" t="n">
        <v>0</v>
      </c>
      <c r="Q46" s="18" t="n">
        <v>6.08996118</v>
      </c>
      <c r="R46" s="20" t="n">
        <v>0.92098219</v>
      </c>
    </row>
    <row r="47" spans="1:18">
      <c r="A47" s="15" t="s">
        <v>389</v>
      </c>
      <c r="B47" s="17" t="n">
        <v>3105</v>
      </c>
      <c r="C47" s="18">
        <f>(2713.0/B47*100)</f>
        <v/>
      </c>
      <c r="D47" s="19" t="n">
        <v>392</v>
      </c>
      <c r="E47" s="18" t="n">
        <v>33.60988215</v>
      </c>
      <c r="F47" s="20" t="n">
        <v>2.51172336</v>
      </c>
      <c r="G47" s="18" t="n">
        <v>60.08076476</v>
      </c>
      <c r="H47" s="20" t="n">
        <v>2.42811137</v>
      </c>
      <c r="I47" s="18" t="s">
        <v>349</v>
      </c>
      <c r="J47" s="20" t="s">
        <v>349</v>
      </c>
      <c r="K47" s="18" t="n">
        <v>0.23806685</v>
      </c>
      <c r="L47" s="20" t="n">
        <v>0.23867962</v>
      </c>
      <c r="M47" s="18" t="n">
        <v>0</v>
      </c>
      <c r="N47" s="20" t="n">
        <v>0</v>
      </c>
      <c r="O47" s="18" t="n">
        <v>0</v>
      </c>
      <c r="P47" s="20" t="n">
        <v>0</v>
      </c>
      <c r="Q47" s="18" t="n">
        <v>6.07128624</v>
      </c>
      <c r="R47" s="20" t="n">
        <v>1.36114104</v>
      </c>
    </row>
    <row r="48" spans="1:18">
      <c r="A48" s="15" t="s">
        <v>390</v>
      </c>
      <c r="B48" s="17" t="n">
        <v>5159</v>
      </c>
      <c r="C48" s="18">
        <f>(4547.0/B48*100)</f>
        <v/>
      </c>
      <c r="D48" s="19" t="n">
        <v>612</v>
      </c>
      <c r="E48" s="18" t="n">
        <v>18.22440198</v>
      </c>
      <c r="F48" s="20" t="n">
        <v>2.18440498</v>
      </c>
      <c r="G48" s="18" t="n">
        <v>79.72422276</v>
      </c>
      <c r="H48" s="20" t="n">
        <v>2.26861992</v>
      </c>
      <c r="I48" s="18" t="s">
        <v>349</v>
      </c>
      <c r="J48" s="20" t="s">
        <v>349</v>
      </c>
      <c r="K48" s="18" t="n">
        <v>0.83887491</v>
      </c>
      <c r="L48" s="20" t="n">
        <v>0.61641934</v>
      </c>
      <c r="M48" s="18" t="n">
        <v>0</v>
      </c>
      <c r="N48" s="20" t="n">
        <v>0</v>
      </c>
      <c r="O48" s="18" t="n">
        <v>0</v>
      </c>
      <c r="P48" s="20" t="n">
        <v>0</v>
      </c>
      <c r="Q48" s="18" t="n">
        <v>1.21250035</v>
      </c>
      <c r="R48" s="20" t="n">
        <v>0.56983544</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(4941.0/B50*100)</f>
        <v/>
      </c>
      <c r="D50" s="19" t="n">
        <v>696</v>
      </c>
      <c r="E50" s="18" t="n">
        <v>34.07876458</v>
      </c>
      <c r="F50" s="20" t="n">
        <v>2.29159953</v>
      </c>
      <c r="G50" s="18" t="n">
        <v>63.26899382</v>
      </c>
      <c r="H50" s="20" t="n">
        <v>2.21960275</v>
      </c>
      <c r="I50" s="18" t="s">
        <v>349</v>
      </c>
      <c r="J50" s="20" t="s">
        <v>349</v>
      </c>
      <c r="K50" s="18" t="n">
        <v>1.27015183</v>
      </c>
      <c r="L50" s="20" t="n">
        <v>0.73941223</v>
      </c>
      <c r="M50" s="18" t="n">
        <v>0</v>
      </c>
      <c r="N50" s="20" t="n">
        <v>0</v>
      </c>
      <c r="O50" s="18" t="n">
        <v>0</v>
      </c>
      <c r="P50" s="20" t="n">
        <v>0</v>
      </c>
      <c r="Q50" s="18" t="n">
        <v>1.38208977</v>
      </c>
      <c r="R50" s="20" t="n">
        <v>0.6974069000000001</v>
      </c>
    </row>
    <row r="51" spans="1:18">
      <c r="A51" s="15" t="s">
        <v>393</v>
      </c>
      <c r="B51" s="17" t="n">
        <v>3372</v>
      </c>
      <c r="C51" s="18">
        <f>(2995.0/B51*100)</f>
        <v/>
      </c>
      <c r="D51" s="19" t="n">
        <v>377</v>
      </c>
      <c r="E51" s="18" t="n">
        <v>31.74631351</v>
      </c>
      <c r="F51" s="20" t="n">
        <v>2.83785874</v>
      </c>
      <c r="G51" s="18" t="n">
        <v>63.42528414</v>
      </c>
      <c r="H51" s="20" t="n">
        <v>2.93321496</v>
      </c>
      <c r="I51" s="18" t="s">
        <v>349</v>
      </c>
      <c r="J51" s="20" t="s">
        <v>349</v>
      </c>
      <c r="K51" s="18" t="n">
        <v>0.18012118</v>
      </c>
      <c r="L51" s="20" t="n">
        <v>0.14545911</v>
      </c>
      <c r="M51" s="18" t="n">
        <v>0</v>
      </c>
      <c r="N51" s="20" t="n">
        <v>0</v>
      </c>
      <c r="O51" s="18" t="n">
        <v>0</v>
      </c>
      <c r="P51" s="20" t="n">
        <v>0</v>
      </c>
      <c r="Q51" s="18" t="n">
        <v>4.64828117</v>
      </c>
      <c r="R51" s="20" t="n">
        <v>1.31458138</v>
      </c>
    </row>
    <row r="52" spans="1:18">
      <c r="A52" s="15" t="s">
        <v>394</v>
      </c>
      <c r="B52" s="17" t="n">
        <v>2796</v>
      </c>
      <c r="C52" s="18">
        <f>(2457.0/B52*100)</f>
        <v/>
      </c>
      <c r="D52" s="19" t="n">
        <v>339</v>
      </c>
      <c r="E52" s="18" t="n">
        <v>20.17254723</v>
      </c>
      <c r="F52" s="20" t="n">
        <v>2.2510641</v>
      </c>
      <c r="G52" s="18" t="n">
        <v>76.86297231</v>
      </c>
      <c r="H52" s="20" t="n">
        <v>2.46620609</v>
      </c>
      <c r="I52" s="18" t="s">
        <v>349</v>
      </c>
      <c r="J52" s="20" t="s">
        <v>349</v>
      </c>
      <c r="K52" s="18" t="n">
        <v>0.9276705</v>
      </c>
      <c r="L52" s="20" t="n">
        <v>0.56857057</v>
      </c>
      <c r="M52" s="18" t="n">
        <v>0</v>
      </c>
      <c r="N52" s="20" t="n">
        <v>0</v>
      </c>
      <c r="O52" s="18" t="n">
        <v>0</v>
      </c>
      <c r="P52" s="20" t="n">
        <v>0</v>
      </c>
      <c r="Q52" s="18" t="n">
        <v>2.03680995</v>
      </c>
      <c r="R52" s="20" t="n">
        <v>0.73698475</v>
      </c>
    </row>
    <row r="53" spans="1:18">
      <c r="A53" s="15" t="s">
        <v>395</v>
      </c>
      <c r="B53" s="17" t="n">
        <v>2811</v>
      </c>
      <c r="C53" s="18">
        <f>(2470.0/B53*100)</f>
        <v/>
      </c>
      <c r="D53" s="19" t="n">
        <v>341</v>
      </c>
      <c r="E53" s="18" t="n">
        <v>35.91973512</v>
      </c>
      <c r="F53" s="20" t="n">
        <v>2.60061756</v>
      </c>
      <c r="G53" s="18" t="n">
        <v>57.9967912</v>
      </c>
      <c r="H53" s="20" t="n">
        <v>2.68843843</v>
      </c>
      <c r="I53" s="18" t="s">
        <v>349</v>
      </c>
      <c r="J53" s="20" t="s">
        <v>349</v>
      </c>
      <c r="K53" s="18" t="n">
        <v>0.51098781</v>
      </c>
      <c r="L53" s="20" t="n">
        <v>0.36280374</v>
      </c>
      <c r="M53" s="18" t="n">
        <v>0</v>
      </c>
      <c r="N53" s="20" t="n">
        <v>0</v>
      </c>
      <c r="O53" s="18" t="n">
        <v>0</v>
      </c>
      <c r="P53" s="20" t="n">
        <v>0</v>
      </c>
      <c r="Q53" s="18" t="n">
        <v>5.57248587</v>
      </c>
      <c r="R53" s="20" t="n">
        <v>1.33381237</v>
      </c>
    </row>
    <row r="54" spans="1:18">
      <c r="A54" s="15" t="s">
        <v>396</v>
      </c>
      <c r="B54" s="17" t="n">
        <v>2266</v>
      </c>
      <c r="C54" s="18">
        <f>(1891.0/B54*100)</f>
        <v/>
      </c>
      <c r="D54" s="19" t="n">
        <v>375</v>
      </c>
      <c r="E54" s="18" t="n">
        <v>43.7372265</v>
      </c>
      <c r="F54" s="20" t="n">
        <v>2.90056098</v>
      </c>
      <c r="G54" s="18" t="n">
        <v>42.07642441</v>
      </c>
      <c r="H54" s="20" t="n">
        <v>2.77057642</v>
      </c>
      <c r="I54" s="18" t="s">
        <v>349</v>
      </c>
      <c r="J54" s="20" t="s">
        <v>349</v>
      </c>
      <c r="K54" s="18" t="n">
        <v>7.19593554</v>
      </c>
      <c r="L54" s="20" t="n">
        <v>1.59230866</v>
      </c>
      <c r="M54" s="18" t="n">
        <v>0</v>
      </c>
      <c r="N54" s="20" t="n">
        <v>0</v>
      </c>
      <c r="O54" s="18" t="n">
        <v>0</v>
      </c>
      <c r="P54" s="20" t="n">
        <v>0</v>
      </c>
      <c r="Q54" s="18" t="n">
        <v>6.99041355</v>
      </c>
      <c r="R54" s="20" t="n">
        <v>1.36186104</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(2349.0/B56*100)</f>
        <v/>
      </c>
      <c r="D56" s="19" t="n">
        <v>335</v>
      </c>
      <c r="E56" s="18" t="n">
        <v>14.5115723</v>
      </c>
      <c r="F56" s="20" t="n">
        <v>2.01808598</v>
      </c>
      <c r="G56" s="18" t="n">
        <v>84.19800124</v>
      </c>
      <c r="H56" s="20" t="n">
        <v>2.05286586</v>
      </c>
      <c r="I56" s="18" t="s">
        <v>349</v>
      </c>
      <c r="J56" s="20" t="s">
        <v>349</v>
      </c>
      <c r="K56" s="18" t="n">
        <v>0</v>
      </c>
      <c r="L56" s="20" t="n">
        <v>0</v>
      </c>
      <c r="M56" s="18" t="n">
        <v>0</v>
      </c>
      <c r="N56" s="20" t="n">
        <v>0</v>
      </c>
      <c r="O56" s="18" t="n">
        <v>0</v>
      </c>
      <c r="P56" s="20" t="n">
        <v>0</v>
      </c>
      <c r="Q56" s="18" t="n">
        <v>1.29042646</v>
      </c>
      <c r="R56" s="20" t="n">
        <v>0.62945205</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(2924.0/B61*100)</f>
        <v/>
      </c>
      <c r="D61" s="19" t="n">
        <v>400</v>
      </c>
      <c r="E61" s="18" t="n">
        <v>22.21801198</v>
      </c>
      <c r="F61" s="20" t="n">
        <v>2.39635849</v>
      </c>
      <c r="G61" s="18" t="n">
        <v>74.84067008</v>
      </c>
      <c r="H61" s="20" t="n">
        <v>2.29257397</v>
      </c>
      <c r="I61" s="18" t="s">
        <v>349</v>
      </c>
      <c r="J61" s="20" t="s">
        <v>349</v>
      </c>
      <c r="K61" s="18" t="n">
        <v>0.37684167</v>
      </c>
      <c r="L61" s="20" t="n">
        <v>0.31326856</v>
      </c>
      <c r="M61" s="18" t="n">
        <v>0</v>
      </c>
      <c r="N61" s="20" t="n">
        <v>0</v>
      </c>
      <c r="O61" s="18" t="n">
        <v>0</v>
      </c>
      <c r="P61" s="20" t="n">
        <v>0</v>
      </c>
      <c r="Q61" s="18" t="n">
        <v>2.56447627</v>
      </c>
      <c r="R61" s="20" t="n">
        <v>0.95244916</v>
      </c>
    </row>
    <row r="62" spans="1:18">
      <c r="A62" s="15" t="s">
        <v>404</v>
      </c>
      <c r="B62" s="17" t="n">
        <v>2246</v>
      </c>
      <c r="C62" s="18">
        <f>(1957.0/B62*100)</f>
        <v/>
      </c>
      <c r="D62" s="19" t="n">
        <v>289</v>
      </c>
      <c r="E62" s="18" t="n">
        <v>13.48775653</v>
      </c>
      <c r="F62" s="20" t="n">
        <v>2.03426971</v>
      </c>
      <c r="G62" s="18" t="n">
        <v>86.51224347</v>
      </c>
      <c r="H62" s="20" t="n">
        <v>2.03426971</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(2539.0/B66*100)</f>
        <v/>
      </c>
      <c r="D66" s="19" t="n">
        <v>355</v>
      </c>
      <c r="E66" s="18" t="n">
        <v>28.9891468</v>
      </c>
      <c r="F66" s="20" t="n">
        <v>2.47289644</v>
      </c>
      <c r="G66" s="18" t="n">
        <v>60.23099356</v>
      </c>
      <c r="H66" s="20" t="n">
        <v>3.14309171</v>
      </c>
      <c r="I66" s="18" t="s">
        <v>349</v>
      </c>
      <c r="J66" s="20" t="s">
        <v>349</v>
      </c>
      <c r="K66" s="18" t="n">
        <v>0.82360318</v>
      </c>
      <c r="L66" s="20" t="n">
        <v>0.47490729</v>
      </c>
      <c r="M66" s="18" t="n">
        <v>0</v>
      </c>
      <c r="N66" s="20" t="n">
        <v>0</v>
      </c>
      <c r="O66" s="18" t="n">
        <v>0</v>
      </c>
      <c r="P66" s="20" t="n">
        <v>0</v>
      </c>
      <c r="Q66" s="18" t="n">
        <v>9.956256460000001</v>
      </c>
      <c r="R66" s="20" t="n">
        <v>1.73939294</v>
      </c>
    </row>
    <row r="67" spans="1:18">
      <c r="A67" s="15" t="s">
        <v>409</v>
      </c>
      <c r="B67" s="17" t="n">
        <v>3511</v>
      </c>
      <c r="C67" s="18">
        <f>(3110.0/B67*100)</f>
        <v/>
      </c>
      <c r="D67" s="19" t="n">
        <v>401</v>
      </c>
      <c r="E67" s="18" t="n">
        <v>32.87932251</v>
      </c>
      <c r="F67" s="20" t="n">
        <v>2.52946746</v>
      </c>
      <c r="G67" s="18" t="n">
        <v>63.75571682</v>
      </c>
      <c r="H67" s="20" t="n">
        <v>2.57435137</v>
      </c>
      <c r="I67" s="18" t="s">
        <v>349</v>
      </c>
      <c r="J67" s="20" t="s">
        <v>349</v>
      </c>
      <c r="K67" s="18" t="n">
        <v>0</v>
      </c>
      <c r="L67" s="20" t="n">
        <v>0</v>
      </c>
      <c r="M67" s="18" t="n">
        <v>0</v>
      </c>
      <c r="N67" s="20" t="n">
        <v>0</v>
      </c>
      <c r="O67" s="18" t="n">
        <v>0</v>
      </c>
      <c r="P67" s="20" t="n">
        <v>0</v>
      </c>
      <c r="Q67" s="18" t="n">
        <v>3.36496067</v>
      </c>
      <c r="R67" s="20" t="n">
        <v>0.99329538</v>
      </c>
    </row>
    <row r="68" spans="1:18">
      <c r="A68" s="15" t="s">
        <v>410</v>
      </c>
      <c r="B68" s="17" t="n">
        <v>6049</v>
      </c>
      <c r="C68" s="18">
        <f>(5036.0/B68*100)</f>
        <v/>
      </c>
      <c r="D68" s="19" t="n">
        <v>1013</v>
      </c>
      <c r="E68" s="18" t="n">
        <v>42.33891561</v>
      </c>
      <c r="F68" s="20" t="n">
        <v>1.63793101</v>
      </c>
      <c r="G68" s="18" t="n">
        <v>51.94594526</v>
      </c>
      <c r="H68" s="20" t="n">
        <v>1.65339466</v>
      </c>
      <c r="I68" s="18" t="s">
        <v>349</v>
      </c>
      <c r="J68" s="20" t="s">
        <v>349</v>
      </c>
      <c r="K68" s="18" t="n">
        <v>1.52903671</v>
      </c>
      <c r="L68" s="20" t="n">
        <v>0.35086878</v>
      </c>
      <c r="M68" s="18" t="n">
        <v>0</v>
      </c>
      <c r="N68" s="20" t="n">
        <v>0</v>
      </c>
      <c r="O68" s="18" t="n">
        <v>0</v>
      </c>
      <c r="P68" s="20" t="n">
        <v>0</v>
      </c>
      <c r="Q68" s="18" t="n">
        <v>4.18610243</v>
      </c>
      <c r="R68" s="20" t="n">
        <v>0.61415605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(2573.0/B70*100)</f>
        <v/>
      </c>
      <c r="D70" s="19" t="n">
        <v>356</v>
      </c>
      <c r="E70" s="18" t="n">
        <v>19.84560685</v>
      </c>
      <c r="F70" s="20" t="n">
        <v>1.94089394</v>
      </c>
      <c r="G70" s="18" t="n">
        <v>78.4125883</v>
      </c>
      <c r="H70" s="20" t="n">
        <v>2.1731279</v>
      </c>
      <c r="I70" s="18" t="s">
        <v>349</v>
      </c>
      <c r="J70" s="20" t="s">
        <v>349</v>
      </c>
      <c r="K70" s="18" t="n">
        <v>0</v>
      </c>
      <c r="L70" s="20" t="n">
        <v>0</v>
      </c>
      <c r="M70" s="18" t="n">
        <v>0</v>
      </c>
      <c r="N70" s="20" t="n">
        <v>0</v>
      </c>
      <c r="O70" s="18" t="n">
        <v>0</v>
      </c>
      <c r="P70" s="20" t="n">
        <v>0</v>
      </c>
      <c r="Q70" s="18" t="n">
        <v>1.74180485</v>
      </c>
      <c r="R70" s="20" t="n">
        <v>0.74944922</v>
      </c>
    </row>
    <row r="71" spans="1:18">
      <c r="A71" s="15" t="s">
        <v>413</v>
      </c>
      <c r="B71" s="17" t="n">
        <v>3142</v>
      </c>
      <c r="C71" s="18">
        <f>(2755.0/B71*100)</f>
        <v/>
      </c>
      <c r="D71" s="19" t="n">
        <v>387</v>
      </c>
      <c r="E71" s="18" t="n">
        <v>12.68066051</v>
      </c>
      <c r="F71" s="20" t="n">
        <v>1.73796593</v>
      </c>
      <c r="G71" s="18" t="n">
        <v>86.40709867</v>
      </c>
      <c r="H71" s="20" t="n">
        <v>1.75956908</v>
      </c>
      <c r="I71" s="18" t="s">
        <v>349</v>
      </c>
      <c r="J71" s="20" t="s">
        <v>349</v>
      </c>
      <c r="K71" s="18" t="n">
        <v>0.27329043</v>
      </c>
      <c r="L71" s="20" t="n">
        <v>0.25921558</v>
      </c>
      <c r="M71" s="18" t="n">
        <v>0</v>
      </c>
      <c r="N71" s="20" t="n">
        <v>0</v>
      </c>
      <c r="O71" s="18" t="n">
        <v>0</v>
      </c>
      <c r="P71" s="20" t="n">
        <v>0</v>
      </c>
      <c r="Q71" s="18" t="n">
        <v>0.63895039</v>
      </c>
      <c r="R71" s="20" t="n">
        <v>0.63999744</v>
      </c>
    </row>
    <row r="72" spans="1:18">
      <c r="A72" s="15" t="s">
        <v>414</v>
      </c>
      <c r="B72" s="17" t="n">
        <v>3889</v>
      </c>
      <c r="C72" s="18">
        <f>(3408.0/B72*100)</f>
        <v/>
      </c>
      <c r="D72" s="19" t="n">
        <v>481</v>
      </c>
      <c r="E72" s="18" t="n">
        <v>17.42201582</v>
      </c>
      <c r="F72" s="20" t="n">
        <v>1.79981982</v>
      </c>
      <c r="G72" s="18" t="n">
        <v>81.57574133</v>
      </c>
      <c r="H72" s="20" t="n">
        <v>1.85545449</v>
      </c>
      <c r="I72" s="18" t="s">
        <v>349</v>
      </c>
      <c r="J72" s="20" t="s">
        <v>349</v>
      </c>
      <c r="K72" s="18" t="n">
        <v>0.14151252</v>
      </c>
      <c r="L72" s="20" t="n">
        <v>0.1412392</v>
      </c>
      <c r="M72" s="18" t="n">
        <v>0</v>
      </c>
      <c r="N72" s="20" t="n">
        <v>0</v>
      </c>
      <c r="O72" s="18" t="n">
        <v>0</v>
      </c>
      <c r="P72" s="20" t="n">
        <v>0</v>
      </c>
      <c r="Q72" s="18" t="n">
        <v>0.86073033</v>
      </c>
      <c r="R72" s="20" t="n">
        <v>0.42924584</v>
      </c>
    </row>
    <row r="73" spans="1:18">
      <c r="A73" s="15" t="s">
        <v>415</v>
      </c>
      <c r="B73" s="17" t="n">
        <v>3597</v>
      </c>
      <c r="C73" s="18">
        <f>(3164.0/B73*100)</f>
        <v/>
      </c>
      <c r="D73" s="19" t="n">
        <v>433</v>
      </c>
      <c r="E73" s="18" t="n">
        <v>46.63108095</v>
      </c>
      <c r="F73" s="20" t="n">
        <v>3.02237546</v>
      </c>
      <c r="G73" s="18" t="n">
        <v>51.50622943</v>
      </c>
      <c r="H73" s="20" t="n">
        <v>3.16699379</v>
      </c>
      <c r="I73" s="18" t="s">
        <v>349</v>
      </c>
      <c r="J73" s="20" t="s">
        <v>349</v>
      </c>
      <c r="K73" s="18" t="n">
        <v>0</v>
      </c>
      <c r="L73" s="20" t="n">
        <v>0</v>
      </c>
      <c r="M73" s="18" t="n">
        <v>0</v>
      </c>
      <c r="N73" s="20" t="n">
        <v>0</v>
      </c>
      <c r="O73" s="18" t="n">
        <v>0</v>
      </c>
      <c r="P73" s="20" t="n">
        <v>0</v>
      </c>
      <c r="Q73" s="18" t="n">
        <v>1.86268962</v>
      </c>
      <c r="R73" s="20" t="n">
        <v>0.80658353</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(2115.0/B75*100)</f>
        <v/>
      </c>
      <c r="D75" s="19" t="n">
        <v>291</v>
      </c>
      <c r="E75" s="18" t="n">
        <v>51.58748872</v>
      </c>
      <c r="F75" s="20" t="n">
        <v>2.73841086</v>
      </c>
      <c r="G75" s="18" t="n">
        <v>42.96665115</v>
      </c>
      <c r="H75" s="20" t="n">
        <v>2.57798126</v>
      </c>
      <c r="I75" s="18" t="s">
        <v>349</v>
      </c>
      <c r="J75" s="20" t="s">
        <v>349</v>
      </c>
      <c r="K75" s="18" t="n">
        <v>0</v>
      </c>
      <c r="L75" s="20" t="n">
        <v>0</v>
      </c>
      <c r="M75" s="18" t="n">
        <v>0</v>
      </c>
      <c r="N75" s="20" t="n">
        <v>0</v>
      </c>
      <c r="O75" s="18" t="n">
        <v>0</v>
      </c>
      <c r="P75" s="20" t="n">
        <v>0</v>
      </c>
      <c r="Q75" s="18" t="n">
        <v>5.44586013</v>
      </c>
      <c r="R75" s="20" t="n">
        <v>1.49410431</v>
      </c>
    </row>
    <row r="76" spans="1:18">
      <c r="A76" s="15" t="s">
        <v>418</v>
      </c>
      <c r="B76" s="17" t="n">
        <v>7052</v>
      </c>
      <c r="C76" s="18">
        <f>(6195.0/B76*100)</f>
        <v/>
      </c>
      <c r="D76" s="19" t="n">
        <v>857</v>
      </c>
      <c r="E76" s="18" t="n">
        <v>41.37768911</v>
      </c>
      <c r="F76" s="20" t="n">
        <v>2.16152637</v>
      </c>
      <c r="G76" s="18" t="n">
        <v>55.24547024</v>
      </c>
      <c r="H76" s="20" t="n">
        <v>2.15725465</v>
      </c>
      <c r="I76" s="18" t="s">
        <v>349</v>
      </c>
      <c r="J76" s="20" t="s">
        <v>349</v>
      </c>
      <c r="K76" s="18" t="n">
        <v>1.04966326</v>
      </c>
      <c r="L76" s="20" t="n">
        <v>0.38645832</v>
      </c>
      <c r="M76" s="18" t="n">
        <v>0</v>
      </c>
      <c r="N76" s="20" t="n">
        <v>0</v>
      </c>
      <c r="O76" s="18" t="n">
        <v>0</v>
      </c>
      <c r="P76" s="20" t="n">
        <v>0</v>
      </c>
      <c r="Q76" s="18" t="n">
        <v>2.32717739</v>
      </c>
      <c r="R76" s="20" t="n">
        <v>0.5714734</v>
      </c>
    </row>
    <row r="77" spans="1:18">
      <c r="A77" s="15" t="s">
        <v>419</v>
      </c>
      <c r="B77" s="17" t="n">
        <v>2908</v>
      </c>
      <c r="C77" s="18">
        <f>(2535.0/B77*100)</f>
        <v/>
      </c>
      <c r="D77" s="19" t="n">
        <v>373</v>
      </c>
      <c r="E77" s="18" t="n">
        <v>26.2268032</v>
      </c>
      <c r="F77" s="20" t="n">
        <v>2.05864841</v>
      </c>
      <c r="G77" s="18" t="n">
        <v>69.35734846</v>
      </c>
      <c r="H77" s="20" t="n">
        <v>2.33140391</v>
      </c>
      <c r="I77" s="18" t="s">
        <v>349</v>
      </c>
      <c r="J77" s="20" t="s">
        <v>349</v>
      </c>
      <c r="K77" s="18" t="n">
        <v>1.41254497</v>
      </c>
      <c r="L77" s="20" t="n">
        <v>0.74698092</v>
      </c>
      <c r="M77" s="18" t="n">
        <v>0</v>
      </c>
      <c r="N77" s="20" t="n">
        <v>0</v>
      </c>
      <c r="O77" s="18" t="n">
        <v>0</v>
      </c>
      <c r="P77" s="20" t="n">
        <v>0</v>
      </c>
      <c r="Q77" s="18" t="n">
        <v>3.00330336</v>
      </c>
      <c r="R77" s="20" t="n">
        <v>0.84929158</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(3652.0/B81*100)</f>
        <v/>
      </c>
      <c r="D81" s="19" t="n">
        <v>511</v>
      </c>
      <c r="E81" s="18" t="n">
        <v>33.26796972</v>
      </c>
      <c r="F81" s="20" t="n">
        <v>2.78060203</v>
      </c>
      <c r="G81" s="18" t="n">
        <v>66.09284501</v>
      </c>
      <c r="H81" s="20" t="n">
        <v>2.75802039</v>
      </c>
      <c r="I81" s="18" t="s">
        <v>349</v>
      </c>
      <c r="J81" s="20" t="s">
        <v>349</v>
      </c>
      <c r="K81" s="18" t="n">
        <v>0.31245514</v>
      </c>
      <c r="L81" s="20" t="n">
        <v>0.21951055</v>
      </c>
      <c r="M81" s="18" t="n">
        <v>0</v>
      </c>
      <c r="N81" s="20" t="n">
        <v>0</v>
      </c>
      <c r="O81" s="18" t="n">
        <v>0</v>
      </c>
      <c r="P81" s="20" t="n">
        <v>0</v>
      </c>
      <c r="Q81" s="18" t="n">
        <v>0.32673012</v>
      </c>
      <c r="R81" s="20" t="n">
        <v>0.32635163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(6485.0/B7*100)</f>
        <v/>
      </c>
      <c r="D7" s="19" t="n">
        <v>882</v>
      </c>
      <c r="E7" s="18" t="n">
        <v>79.61582202</v>
      </c>
      <c r="F7" s="20" t="n">
        <v>1.67650278</v>
      </c>
      <c r="G7" s="18" t="n">
        <v>15.43164801</v>
      </c>
      <c r="H7" s="20" t="n">
        <v>1.26715013</v>
      </c>
      <c r="I7" s="18" t="s">
        <v>349</v>
      </c>
      <c r="J7" s="20" t="s">
        <v>349</v>
      </c>
      <c r="K7" s="18" t="n">
        <v>0.60202013</v>
      </c>
      <c r="L7" s="20" t="n">
        <v>0.30661658</v>
      </c>
      <c r="M7" s="18" t="n">
        <v>0</v>
      </c>
      <c r="N7" s="20" t="n">
        <v>0</v>
      </c>
      <c r="O7" s="18" t="n">
        <v>0</v>
      </c>
      <c r="P7" s="20" t="n">
        <v>0</v>
      </c>
      <c r="Q7" s="18" t="n">
        <v>4.35050983</v>
      </c>
      <c r="R7" s="20" t="n">
        <v>0.84474471</v>
      </c>
    </row>
    <row r="8" spans="1:18">
      <c r="A8" s="15" t="s">
        <v>350</v>
      </c>
      <c r="B8" s="17" t="n">
        <v>3564</v>
      </c>
      <c r="C8" s="18">
        <f>(3099.0/B8*100)</f>
        <v/>
      </c>
      <c r="D8" s="19" t="n">
        <v>465</v>
      </c>
      <c r="E8" s="18" t="n">
        <v>77.40226625</v>
      </c>
      <c r="F8" s="20" t="n">
        <v>2.20565571</v>
      </c>
      <c r="G8" s="18" t="n">
        <v>17.98230143</v>
      </c>
      <c r="H8" s="20" t="n">
        <v>2.15663497</v>
      </c>
      <c r="I8" s="18" t="s">
        <v>349</v>
      </c>
      <c r="J8" s="20" t="s">
        <v>349</v>
      </c>
      <c r="K8" s="18" t="n">
        <v>0.25391063</v>
      </c>
      <c r="L8" s="20" t="n">
        <v>0.24820124</v>
      </c>
      <c r="M8" s="18" t="n">
        <v>0</v>
      </c>
      <c r="N8" s="20" t="n">
        <v>0</v>
      </c>
      <c r="O8" s="18" t="n">
        <v>0</v>
      </c>
      <c r="P8" s="20" t="n">
        <v>0</v>
      </c>
      <c r="Q8" s="18" t="n">
        <v>4.36152169</v>
      </c>
      <c r="R8" s="20" t="n">
        <v>0.81339867</v>
      </c>
    </row>
    <row r="9" spans="1:18">
      <c r="A9" s="15" t="s">
        <v>351</v>
      </c>
      <c r="B9" s="17" t="n">
        <v>4899</v>
      </c>
      <c r="C9" s="18">
        <f>(4315.0/B9*100)</f>
        <v/>
      </c>
      <c r="D9" s="19" t="n">
        <v>584</v>
      </c>
      <c r="E9" s="18" t="n">
        <v>73.07776878999999</v>
      </c>
      <c r="F9" s="20" t="n">
        <v>1.81943778</v>
      </c>
      <c r="G9" s="18" t="n">
        <v>21.03269886</v>
      </c>
      <c r="H9" s="20" t="n">
        <v>1.8903943</v>
      </c>
      <c r="I9" s="18" t="s">
        <v>349</v>
      </c>
      <c r="J9" s="20" t="s">
        <v>349</v>
      </c>
      <c r="K9" s="18" t="n">
        <v>0</v>
      </c>
      <c r="L9" s="20" t="n">
        <v>0</v>
      </c>
      <c r="M9" s="18" t="n">
        <v>0</v>
      </c>
      <c r="N9" s="20" t="n">
        <v>0</v>
      </c>
      <c r="O9" s="18" t="n">
        <v>0</v>
      </c>
      <c r="P9" s="20" t="n">
        <v>0</v>
      </c>
      <c r="Q9" s="18" t="n">
        <v>5.88953235</v>
      </c>
      <c r="R9" s="20" t="n">
        <v>0.9710909599999999</v>
      </c>
    </row>
    <row r="10" spans="1:18">
      <c r="A10" s="15" t="s">
        <v>352</v>
      </c>
      <c r="B10" s="17" t="n">
        <v>10036</v>
      </c>
      <c r="C10" s="18">
        <f>(8809.0/B10*100)</f>
        <v/>
      </c>
      <c r="D10" s="19" t="n">
        <v>1227</v>
      </c>
      <c r="E10" s="18" t="n">
        <v>79.5907515</v>
      </c>
      <c r="F10" s="20" t="n">
        <v>1.7516526</v>
      </c>
      <c r="G10" s="18" t="n">
        <v>17.4445033</v>
      </c>
      <c r="H10" s="20" t="n">
        <v>1.66405369</v>
      </c>
      <c r="I10" s="18" t="s">
        <v>349</v>
      </c>
      <c r="J10" s="20" t="s">
        <v>349</v>
      </c>
      <c r="K10" s="18" t="n">
        <v>0.51366754</v>
      </c>
      <c r="L10" s="20" t="n">
        <v>0.3185456</v>
      </c>
      <c r="M10" s="18" t="n">
        <v>0</v>
      </c>
      <c r="N10" s="20" t="n">
        <v>0</v>
      </c>
      <c r="O10" s="18" t="n">
        <v>0</v>
      </c>
      <c r="P10" s="20" t="n">
        <v>0</v>
      </c>
      <c r="Q10" s="18" t="n">
        <v>2.45107766</v>
      </c>
      <c r="R10" s="20" t="n">
        <v>0.58554313</v>
      </c>
    </row>
    <row r="11" spans="1:18">
      <c r="A11" s="15" t="s">
        <v>353</v>
      </c>
      <c r="B11" s="17" t="n">
        <v>3553</v>
      </c>
      <c r="C11" s="18">
        <f>(3107.0/B11*100)</f>
        <v/>
      </c>
      <c r="D11" s="19" t="n">
        <v>446</v>
      </c>
      <c r="E11" s="18" t="n">
        <v>82.40673390000001</v>
      </c>
      <c r="F11" s="20" t="n">
        <v>2.21859857</v>
      </c>
      <c r="G11" s="18" t="n">
        <v>8.510858539999999</v>
      </c>
      <c r="H11" s="20" t="n">
        <v>1.62360108</v>
      </c>
      <c r="I11" s="18" t="s">
        <v>349</v>
      </c>
      <c r="J11" s="20" t="s">
        <v>349</v>
      </c>
      <c r="K11" s="18" t="n">
        <v>0.06365707</v>
      </c>
      <c r="L11" s="20" t="n">
        <v>0.06427299</v>
      </c>
      <c r="M11" s="18" t="n">
        <v>0</v>
      </c>
      <c r="N11" s="20" t="n">
        <v>0</v>
      </c>
      <c r="O11" s="18" t="n">
        <v>0</v>
      </c>
      <c r="P11" s="20" t="n">
        <v>0</v>
      </c>
      <c r="Q11" s="18" t="n">
        <v>9.01875049</v>
      </c>
      <c r="R11" s="20" t="n">
        <v>1.53324207</v>
      </c>
    </row>
    <row r="12" spans="1:18">
      <c r="A12" s="15" t="s">
        <v>354</v>
      </c>
      <c r="B12" s="17" t="n">
        <v>3472</v>
      </c>
      <c r="C12" s="18">
        <f>(3044.0/B12*100)</f>
        <v/>
      </c>
      <c r="D12" s="19" t="n">
        <v>428</v>
      </c>
      <c r="E12" s="18" t="n">
        <v>79.40631123</v>
      </c>
      <c r="F12" s="20" t="n">
        <v>2.16233934</v>
      </c>
      <c r="G12" s="18" t="n">
        <v>15.12889628</v>
      </c>
      <c r="H12" s="20" t="n">
        <v>1.88866239</v>
      </c>
      <c r="I12" s="18" t="s">
        <v>349</v>
      </c>
      <c r="J12" s="20" t="s">
        <v>349</v>
      </c>
      <c r="K12" s="18" t="n">
        <v>0.32206778</v>
      </c>
      <c r="L12" s="20" t="n">
        <v>0.52541808</v>
      </c>
      <c r="M12" s="18" t="n">
        <v>0</v>
      </c>
      <c r="N12" s="20" t="n">
        <v>0</v>
      </c>
      <c r="O12" s="18" t="n">
        <v>0</v>
      </c>
      <c r="P12" s="20" t="n">
        <v>0</v>
      </c>
      <c r="Q12" s="18" t="n">
        <v>5.1427247</v>
      </c>
      <c r="R12" s="20" t="n">
        <v>1.23537915</v>
      </c>
    </row>
    <row r="13" spans="1:18">
      <c r="A13" s="15" t="s">
        <v>355</v>
      </c>
      <c r="B13" s="17" t="n">
        <v>3559</v>
      </c>
      <c r="C13" s="18">
        <f>(3126.0/B13*100)</f>
        <v/>
      </c>
      <c r="D13" s="19" t="n">
        <v>433</v>
      </c>
      <c r="E13" s="18" t="n">
        <v>72.57397748</v>
      </c>
      <c r="F13" s="20" t="n">
        <v>3.0464029</v>
      </c>
      <c r="G13" s="18" t="n">
        <v>22.63257425</v>
      </c>
      <c r="H13" s="20" t="n">
        <v>2.79477715</v>
      </c>
      <c r="I13" s="18" t="s">
        <v>349</v>
      </c>
      <c r="J13" s="20" t="s">
        <v>349</v>
      </c>
      <c r="K13" s="18" t="n">
        <v>0.28287454</v>
      </c>
      <c r="L13" s="20" t="n">
        <v>0.25201213</v>
      </c>
      <c r="M13" s="18" t="n">
        <v>0</v>
      </c>
      <c r="N13" s="20" t="n">
        <v>0</v>
      </c>
      <c r="O13" s="18" t="n">
        <v>0</v>
      </c>
      <c r="P13" s="20" t="n">
        <v>0</v>
      </c>
      <c r="Q13" s="18" t="n">
        <v>4.51057373</v>
      </c>
      <c r="R13" s="20" t="n">
        <v>1.1508765</v>
      </c>
    </row>
    <row r="14" spans="1:18">
      <c r="A14" s="15" t="s">
        <v>356</v>
      </c>
      <c r="B14" s="17" t="n">
        <v>2799</v>
      </c>
      <c r="C14" s="18">
        <f>(2468.0/B14*100)</f>
        <v/>
      </c>
      <c r="D14" s="19" t="n">
        <v>331</v>
      </c>
      <c r="E14" s="18" t="n">
        <v>82.60326302</v>
      </c>
      <c r="F14" s="20" t="n">
        <v>2.0098686</v>
      </c>
      <c r="G14" s="18" t="n">
        <v>14.37461917</v>
      </c>
      <c r="H14" s="20" t="n">
        <v>1.77791964</v>
      </c>
      <c r="I14" s="18" t="s">
        <v>349</v>
      </c>
      <c r="J14" s="20" t="s">
        <v>349</v>
      </c>
      <c r="K14" s="18" t="n">
        <v>0</v>
      </c>
      <c r="L14" s="20" t="n">
        <v>0</v>
      </c>
      <c r="M14" s="18" t="n">
        <v>0</v>
      </c>
      <c r="N14" s="20" t="n">
        <v>0</v>
      </c>
      <c r="O14" s="18" t="n">
        <v>0</v>
      </c>
      <c r="P14" s="20" t="n">
        <v>0</v>
      </c>
      <c r="Q14" s="18" t="n">
        <v>3.0221178</v>
      </c>
      <c r="R14" s="20" t="n">
        <v>1.08324406</v>
      </c>
    </row>
    <row r="15" spans="1:18">
      <c r="A15" s="15" t="s">
        <v>357</v>
      </c>
      <c r="B15" s="17" t="n">
        <v>3019</v>
      </c>
      <c r="C15" s="18">
        <f>(2644.0/B15*100)</f>
        <v/>
      </c>
      <c r="D15" s="19" t="n">
        <v>375</v>
      </c>
      <c r="E15" s="18" t="n">
        <v>83.5262855</v>
      </c>
      <c r="F15" s="20" t="n">
        <v>2.04145937</v>
      </c>
      <c r="G15" s="18" t="n">
        <v>9.93966178</v>
      </c>
      <c r="H15" s="20" t="n">
        <v>1.62718125</v>
      </c>
      <c r="I15" s="18" t="s">
        <v>349</v>
      </c>
      <c r="J15" s="20" t="s">
        <v>349</v>
      </c>
      <c r="K15" s="18" t="n">
        <v>0</v>
      </c>
      <c r="L15" s="20" t="n">
        <v>0</v>
      </c>
      <c r="M15" s="18" t="n">
        <v>0</v>
      </c>
      <c r="N15" s="20" t="n">
        <v>0</v>
      </c>
      <c r="O15" s="18" t="n">
        <v>0</v>
      </c>
      <c r="P15" s="20" t="n">
        <v>0</v>
      </c>
      <c r="Q15" s="18" t="n">
        <v>6.53405272</v>
      </c>
      <c r="R15" s="20" t="n">
        <v>1.34341417</v>
      </c>
    </row>
    <row r="16" spans="1:18">
      <c r="A16" s="15" t="s">
        <v>358</v>
      </c>
      <c r="B16" s="17" t="n">
        <v>2997</v>
      </c>
      <c r="C16" s="18">
        <f>(2619.0/B16*100)</f>
        <v/>
      </c>
      <c r="D16" s="19" t="n">
        <v>378</v>
      </c>
      <c r="E16" s="18" t="n">
        <v>78.74040050000001</v>
      </c>
      <c r="F16" s="20" t="n">
        <v>2.00384622</v>
      </c>
      <c r="G16" s="18" t="n">
        <v>14.01408004</v>
      </c>
      <c r="H16" s="20" t="n">
        <v>1.8019647</v>
      </c>
      <c r="I16" s="18" t="s">
        <v>349</v>
      </c>
      <c r="J16" s="20" t="s">
        <v>349</v>
      </c>
      <c r="K16" s="18" t="n">
        <v>0.27855467</v>
      </c>
      <c r="L16" s="20" t="n">
        <v>0.28015435</v>
      </c>
      <c r="M16" s="18" t="n">
        <v>0</v>
      </c>
      <c r="N16" s="20" t="n">
        <v>0</v>
      </c>
      <c r="O16" s="18" t="n">
        <v>0</v>
      </c>
      <c r="P16" s="20" t="n">
        <v>0</v>
      </c>
      <c r="Q16" s="18" t="n">
        <v>6.96696478</v>
      </c>
      <c r="R16" s="20" t="n">
        <v>1.23425453</v>
      </c>
    </row>
    <row r="17" spans="1:18">
      <c r="A17" s="15" t="s">
        <v>359</v>
      </c>
      <c r="B17" s="17" t="n">
        <v>3307</v>
      </c>
      <c r="C17" s="18">
        <f>(2884.0/B17*100)</f>
        <v/>
      </c>
      <c r="D17" s="19" t="n">
        <v>423</v>
      </c>
      <c r="E17" s="18" t="n">
        <v>79.23169191</v>
      </c>
      <c r="F17" s="20" t="n">
        <v>2.06344141</v>
      </c>
      <c r="G17" s="18" t="n">
        <v>13.35006812</v>
      </c>
      <c r="H17" s="20" t="n">
        <v>1.65883014</v>
      </c>
      <c r="I17" s="18" t="s">
        <v>349</v>
      </c>
      <c r="J17" s="20" t="s">
        <v>349</v>
      </c>
      <c r="K17" s="18" t="n">
        <v>0.2763413</v>
      </c>
      <c r="L17" s="20" t="n">
        <v>0.30728114</v>
      </c>
      <c r="M17" s="18" t="n">
        <v>0</v>
      </c>
      <c r="N17" s="20" t="n">
        <v>0</v>
      </c>
      <c r="O17" s="18" t="n">
        <v>0</v>
      </c>
      <c r="P17" s="20" t="n">
        <v>0</v>
      </c>
      <c r="Q17" s="18" t="n">
        <v>7.14189866</v>
      </c>
      <c r="R17" s="20" t="n">
        <v>1.48497848</v>
      </c>
    </row>
    <row r="18" spans="1:18">
      <c r="A18" s="15" t="s">
        <v>360</v>
      </c>
      <c r="B18" s="17" t="n">
        <v>2826</v>
      </c>
      <c r="C18" s="18">
        <f>(2480.0/B18*100)</f>
        <v/>
      </c>
      <c r="D18" s="19" t="n">
        <v>346</v>
      </c>
      <c r="E18" s="18" t="n">
        <v>85.35353713000001</v>
      </c>
      <c r="F18" s="20" t="n">
        <v>1.93175751</v>
      </c>
      <c r="G18" s="18" t="n">
        <v>10.79394478</v>
      </c>
      <c r="H18" s="20" t="n">
        <v>1.84087431</v>
      </c>
      <c r="I18" s="18" t="s">
        <v>349</v>
      </c>
      <c r="J18" s="20" t="s">
        <v>349</v>
      </c>
      <c r="K18" s="18" t="n">
        <v>0</v>
      </c>
      <c r="L18" s="20" t="n">
        <v>0</v>
      </c>
      <c r="M18" s="18" t="n">
        <v>0</v>
      </c>
      <c r="N18" s="20" t="n">
        <v>0</v>
      </c>
      <c r="O18" s="18" t="n">
        <v>0</v>
      </c>
      <c r="P18" s="20" t="n">
        <v>0</v>
      </c>
      <c r="Q18" s="18" t="n">
        <v>3.85251809</v>
      </c>
      <c r="R18" s="20" t="n">
        <v>0.82243038</v>
      </c>
    </row>
    <row r="19" spans="1:18">
      <c r="A19" s="15" t="s">
        <v>361</v>
      </c>
      <c r="B19" s="17" t="n">
        <v>2808</v>
      </c>
      <c r="C19" s="18">
        <f>(2467.0/B19*100)</f>
        <v/>
      </c>
      <c r="D19" s="19" t="n">
        <v>341</v>
      </c>
      <c r="E19" s="18" t="n">
        <v>82.68995166000001</v>
      </c>
      <c r="F19" s="20" t="n">
        <v>2.04899554</v>
      </c>
      <c r="G19" s="18" t="n">
        <v>11.72228545</v>
      </c>
      <c r="H19" s="20" t="n">
        <v>1.85415658</v>
      </c>
      <c r="I19" s="18" t="s">
        <v>349</v>
      </c>
      <c r="J19" s="20" t="s">
        <v>349</v>
      </c>
      <c r="K19" s="18" t="n">
        <v>0.22943772</v>
      </c>
      <c r="L19" s="20" t="n">
        <v>0.2333793</v>
      </c>
      <c r="M19" s="18" t="n">
        <v>0</v>
      </c>
      <c r="N19" s="20" t="n">
        <v>0</v>
      </c>
      <c r="O19" s="18" t="n">
        <v>0</v>
      </c>
      <c r="P19" s="20" t="n">
        <v>0</v>
      </c>
      <c r="Q19" s="18" t="n">
        <v>5.35832516</v>
      </c>
      <c r="R19" s="20" t="n">
        <v>1.06846732</v>
      </c>
    </row>
    <row r="20" spans="1:18">
      <c r="A20" s="15" t="s">
        <v>362</v>
      </c>
      <c r="B20" s="17" t="n">
        <v>1630</v>
      </c>
      <c r="C20" s="18">
        <f>(1423.0/B20*100)</f>
        <v/>
      </c>
      <c r="D20" s="19" t="n">
        <v>207</v>
      </c>
      <c r="E20" s="18" t="n">
        <v>79.78689482999999</v>
      </c>
      <c r="F20" s="20" t="n">
        <v>2.78495994</v>
      </c>
      <c r="G20" s="18" t="n">
        <v>15.90494884</v>
      </c>
      <c r="H20" s="20" t="n">
        <v>2.24956171</v>
      </c>
      <c r="I20" s="18" t="s">
        <v>349</v>
      </c>
      <c r="J20" s="20" t="s">
        <v>349</v>
      </c>
      <c r="K20" s="18" t="n">
        <v>0.45773268</v>
      </c>
      <c r="L20" s="20" t="n">
        <v>0.45955128</v>
      </c>
      <c r="M20" s="18" t="n">
        <v>0</v>
      </c>
      <c r="N20" s="20" t="n">
        <v>0</v>
      </c>
      <c r="O20" s="18" t="n">
        <v>0</v>
      </c>
      <c r="P20" s="20" t="n">
        <v>0</v>
      </c>
      <c r="Q20" s="18" t="n">
        <v>3.85042365</v>
      </c>
      <c r="R20" s="20" t="n">
        <v>1.36530644</v>
      </c>
    </row>
    <row r="21" spans="1:18">
      <c r="A21" s="15" t="s">
        <v>363</v>
      </c>
      <c r="B21" s="17" t="n">
        <v>2908</v>
      </c>
      <c r="C21" s="18">
        <f>(2407.0/B21*100)</f>
        <v/>
      </c>
      <c r="D21" s="19" t="n">
        <v>501</v>
      </c>
      <c r="E21" s="18" t="n">
        <v>83.05436079</v>
      </c>
      <c r="F21" s="20" t="n">
        <v>1.78056898</v>
      </c>
      <c r="G21" s="18" t="n">
        <v>13.29265341</v>
      </c>
      <c r="H21" s="20" t="n">
        <v>1.61202645</v>
      </c>
      <c r="I21" s="18" t="s">
        <v>349</v>
      </c>
      <c r="J21" s="20" t="s">
        <v>349</v>
      </c>
      <c r="K21" s="18" t="n">
        <v>0.71495082</v>
      </c>
      <c r="L21" s="20" t="n">
        <v>0.41428519</v>
      </c>
      <c r="M21" s="18" t="n">
        <v>0</v>
      </c>
      <c r="N21" s="20" t="n">
        <v>0</v>
      </c>
      <c r="O21" s="18" t="n">
        <v>0</v>
      </c>
      <c r="P21" s="20" t="n">
        <v>0</v>
      </c>
      <c r="Q21" s="18" t="n">
        <v>2.93803498</v>
      </c>
      <c r="R21" s="20" t="n">
        <v>0.70087104</v>
      </c>
    </row>
    <row r="22" spans="1:18">
      <c r="A22" s="15" t="s">
        <v>364</v>
      </c>
      <c r="B22" s="17" t="n">
        <v>2931</v>
      </c>
      <c r="C22" s="18">
        <f>(2560.0/B22*100)</f>
        <v/>
      </c>
      <c r="D22" s="19" t="n">
        <v>371</v>
      </c>
      <c r="E22" s="18" t="n">
        <v>76.77781591999999</v>
      </c>
      <c r="F22" s="20" t="n">
        <v>2.57746743</v>
      </c>
      <c r="G22" s="18" t="n">
        <v>11.83690173</v>
      </c>
      <c r="H22" s="20" t="n">
        <v>2.26901068</v>
      </c>
      <c r="I22" s="18" t="s">
        <v>349</v>
      </c>
      <c r="J22" s="20" t="s">
        <v>349</v>
      </c>
      <c r="K22" s="18" t="n">
        <v>1.39898558</v>
      </c>
      <c r="L22" s="20" t="n">
        <v>0.8291818399999999</v>
      </c>
      <c r="M22" s="18" t="n">
        <v>0</v>
      </c>
      <c r="N22" s="20" t="n">
        <v>0</v>
      </c>
      <c r="O22" s="18" t="n">
        <v>0</v>
      </c>
      <c r="P22" s="20" t="n">
        <v>0</v>
      </c>
      <c r="Q22" s="18" t="n">
        <v>9.98629678</v>
      </c>
      <c r="R22" s="20" t="n">
        <v>1.68358947</v>
      </c>
    </row>
    <row r="23" spans="1:18">
      <c r="A23" s="15" t="s">
        <v>365</v>
      </c>
      <c r="B23" s="17" t="n">
        <v>5791</v>
      </c>
      <c r="C23" s="18">
        <f>(5089.0/B23*100)</f>
        <v/>
      </c>
      <c r="D23" s="19" t="n">
        <v>702</v>
      </c>
      <c r="E23" s="18" t="n">
        <v>77.03700918</v>
      </c>
      <c r="F23" s="20" t="n">
        <v>2.2975641</v>
      </c>
      <c r="G23" s="18" t="n">
        <v>17.01977782</v>
      </c>
      <c r="H23" s="20" t="n">
        <v>1.94568136</v>
      </c>
      <c r="I23" s="18" t="s">
        <v>349</v>
      </c>
      <c r="J23" s="20" t="s">
        <v>349</v>
      </c>
      <c r="K23" s="18" t="n">
        <v>0.62174566</v>
      </c>
      <c r="L23" s="20" t="n">
        <v>0.37082203</v>
      </c>
      <c r="M23" s="18" t="n">
        <v>0</v>
      </c>
      <c r="N23" s="20" t="n">
        <v>0</v>
      </c>
      <c r="O23" s="18" t="n">
        <v>0</v>
      </c>
      <c r="P23" s="20" t="n">
        <v>0</v>
      </c>
      <c r="Q23" s="18" t="n">
        <v>5.32146734</v>
      </c>
      <c r="R23" s="20" t="n">
        <v>1.29095601</v>
      </c>
    </row>
    <row r="24" spans="1:18">
      <c r="A24" s="15" t="s">
        <v>366</v>
      </c>
      <c r="B24" s="17" t="n">
        <v>3338</v>
      </c>
      <c r="C24" s="18">
        <f>(2939.0/B24*100)</f>
        <v/>
      </c>
      <c r="D24" s="19" t="n">
        <v>399</v>
      </c>
      <c r="E24" s="18" t="n">
        <v>60.74480591</v>
      </c>
      <c r="F24" s="20" t="n">
        <v>2.53405357</v>
      </c>
      <c r="G24" s="18" t="n">
        <v>34.22982152</v>
      </c>
      <c r="H24" s="20" t="n">
        <v>2.34868907</v>
      </c>
      <c r="I24" s="18" t="s">
        <v>349</v>
      </c>
      <c r="J24" s="20" t="s">
        <v>349</v>
      </c>
      <c r="K24" s="18" t="n">
        <v>0.23129508</v>
      </c>
      <c r="L24" s="20" t="n">
        <v>0.23302619</v>
      </c>
      <c r="M24" s="18" t="n">
        <v>0</v>
      </c>
      <c r="N24" s="20" t="n">
        <v>0</v>
      </c>
      <c r="O24" s="18" t="n">
        <v>0</v>
      </c>
      <c r="P24" s="20" t="n">
        <v>0</v>
      </c>
      <c r="Q24" s="18" t="n">
        <v>4.79407748</v>
      </c>
      <c r="R24" s="20" t="n">
        <v>0.96180468</v>
      </c>
    </row>
    <row r="25" spans="1:18">
      <c r="A25" s="15" t="s">
        <v>367</v>
      </c>
      <c r="B25" s="17" t="n">
        <v>2912</v>
      </c>
      <c r="C25" s="18">
        <f>(2558.0/B25*100)</f>
        <v/>
      </c>
      <c r="D25" s="19" t="n">
        <v>354</v>
      </c>
      <c r="E25" s="18" t="n">
        <v>71.49279762</v>
      </c>
      <c r="F25" s="20" t="n">
        <v>2.6732616</v>
      </c>
      <c r="G25" s="18" t="n">
        <v>25.16214376</v>
      </c>
      <c r="H25" s="20" t="n">
        <v>2.55882984</v>
      </c>
      <c r="I25" s="18" t="s">
        <v>349</v>
      </c>
      <c r="J25" s="20" t="s">
        <v>349</v>
      </c>
      <c r="K25" s="18" t="n">
        <v>0.58845731</v>
      </c>
      <c r="L25" s="20" t="n">
        <v>0.42113335</v>
      </c>
      <c r="M25" s="18" t="n">
        <v>0</v>
      </c>
      <c r="N25" s="20" t="n">
        <v>0</v>
      </c>
      <c r="O25" s="18" t="n">
        <v>0</v>
      </c>
      <c r="P25" s="20" t="n">
        <v>0</v>
      </c>
      <c r="Q25" s="18" t="n">
        <v>2.75660131</v>
      </c>
      <c r="R25" s="20" t="n">
        <v>0.85233409</v>
      </c>
    </row>
    <row r="26" spans="1:18">
      <c r="A26" s="15" t="s">
        <v>368</v>
      </c>
      <c r="B26" s="17" t="n">
        <v>2450</v>
      </c>
      <c r="C26" s="18">
        <f>(2151.0/B26*100)</f>
        <v/>
      </c>
      <c r="D26" s="19" t="n">
        <v>299</v>
      </c>
      <c r="E26" s="18" t="n">
        <v>86.44008896</v>
      </c>
      <c r="F26" s="20" t="n">
        <v>2.21927368</v>
      </c>
      <c r="G26" s="18" t="n">
        <v>10.15671354</v>
      </c>
      <c r="H26" s="20" t="n">
        <v>1.79592757</v>
      </c>
      <c r="I26" s="18" t="s">
        <v>349</v>
      </c>
      <c r="J26" s="20" t="s">
        <v>349</v>
      </c>
      <c r="K26" s="18" t="n">
        <v>0</v>
      </c>
      <c r="L26" s="20" t="n">
        <v>0</v>
      </c>
      <c r="M26" s="18" t="n">
        <v>0</v>
      </c>
      <c r="N26" s="20" t="n">
        <v>0</v>
      </c>
      <c r="O26" s="18" t="n">
        <v>0</v>
      </c>
      <c r="P26" s="20" t="n">
        <v>0</v>
      </c>
      <c r="Q26" s="18" t="n">
        <v>3.4031975</v>
      </c>
      <c r="R26" s="20" t="n">
        <v>1.08800892</v>
      </c>
    </row>
    <row r="27" spans="1:18">
      <c r="A27" s="15" t="s">
        <v>369</v>
      </c>
      <c r="B27" s="17" t="n">
        <v>2616</v>
      </c>
      <c r="C27" s="18">
        <f>(2297.0/B27*100)</f>
        <v/>
      </c>
      <c r="D27" s="19" t="n">
        <v>319</v>
      </c>
      <c r="E27" s="18" t="n">
        <v>81.60265713</v>
      </c>
      <c r="F27" s="20" t="n">
        <v>2.34924186</v>
      </c>
      <c r="G27" s="18" t="n">
        <v>12.1026405</v>
      </c>
      <c r="H27" s="20" t="n">
        <v>1.97602417</v>
      </c>
      <c r="I27" s="18" t="s">
        <v>349</v>
      </c>
      <c r="J27" s="20" t="s">
        <v>349</v>
      </c>
      <c r="K27" s="18" t="n">
        <v>0</v>
      </c>
      <c r="L27" s="20" t="n">
        <v>0</v>
      </c>
      <c r="M27" s="18" t="n">
        <v>0</v>
      </c>
      <c r="N27" s="20" t="n">
        <v>0</v>
      </c>
      <c r="O27" s="18" t="n">
        <v>0</v>
      </c>
      <c r="P27" s="20" t="n">
        <v>0</v>
      </c>
      <c r="Q27" s="18" t="n">
        <v>6.29470237</v>
      </c>
      <c r="R27" s="20" t="n">
        <v>1.44038399</v>
      </c>
    </row>
    <row r="28" spans="1:18">
      <c r="A28" s="15" t="s">
        <v>370</v>
      </c>
      <c r="B28" s="17" t="n">
        <v>3765</v>
      </c>
      <c r="C28" s="18">
        <f>(3284.0/B28*100)</f>
        <v/>
      </c>
      <c r="D28" s="19" t="n">
        <v>481</v>
      </c>
      <c r="E28" s="18" t="n">
        <v>86.31004703000001</v>
      </c>
      <c r="F28" s="20" t="n">
        <v>1.94746192</v>
      </c>
      <c r="G28" s="18" t="n">
        <v>10.80789114</v>
      </c>
      <c r="H28" s="20" t="n">
        <v>1.61116522</v>
      </c>
      <c r="I28" s="18" t="s">
        <v>349</v>
      </c>
      <c r="J28" s="20" t="s">
        <v>349</v>
      </c>
      <c r="K28" s="18" t="n">
        <v>0.63478589</v>
      </c>
      <c r="L28" s="20" t="n">
        <v>0.41924105</v>
      </c>
      <c r="M28" s="18" t="n">
        <v>0</v>
      </c>
      <c r="N28" s="20" t="n">
        <v>0</v>
      </c>
      <c r="O28" s="18" t="n">
        <v>0</v>
      </c>
      <c r="P28" s="20" t="n">
        <v>0</v>
      </c>
      <c r="Q28" s="18" t="n">
        <v>2.24727594</v>
      </c>
      <c r="R28" s="20" t="n">
        <v>0.79524397</v>
      </c>
    </row>
    <row r="29" spans="1:18">
      <c r="A29" s="15" t="s">
        <v>371</v>
      </c>
      <c r="B29" s="17" t="n">
        <v>2685</v>
      </c>
      <c r="C29" s="18">
        <f>(2405.0/B29*100)</f>
        <v/>
      </c>
      <c r="D29" s="19" t="n">
        <v>280</v>
      </c>
      <c r="E29" s="18" t="n">
        <v>86.10356148</v>
      </c>
      <c r="F29" s="20" t="n">
        <v>2.06936681</v>
      </c>
      <c r="G29" s="18" t="n">
        <v>12.05477113</v>
      </c>
      <c r="H29" s="20" t="n">
        <v>1.98109146</v>
      </c>
      <c r="I29" s="18" t="s">
        <v>349</v>
      </c>
      <c r="J29" s="20" t="s">
        <v>349</v>
      </c>
      <c r="K29" s="18" t="n">
        <v>0</v>
      </c>
      <c r="L29" s="20" t="n">
        <v>0</v>
      </c>
      <c r="M29" s="18" t="n">
        <v>0</v>
      </c>
      <c r="N29" s="20" t="n">
        <v>0</v>
      </c>
      <c r="O29" s="18" t="n">
        <v>0</v>
      </c>
      <c r="P29" s="20" t="n">
        <v>0</v>
      </c>
      <c r="Q29" s="18" t="n">
        <v>1.8416674</v>
      </c>
      <c r="R29" s="20" t="n">
        <v>0.8423045</v>
      </c>
    </row>
    <row r="30" spans="1:18">
      <c r="A30" s="15" t="s">
        <v>372</v>
      </c>
      <c r="B30" s="17" t="n">
        <v>2263</v>
      </c>
      <c r="C30" s="18">
        <f>(1993.0/B30*100)</f>
        <v/>
      </c>
      <c r="D30" s="19" t="n">
        <v>270</v>
      </c>
      <c r="E30" s="18" t="n">
        <v>75.41432909</v>
      </c>
      <c r="F30" s="20" t="n">
        <v>2.98903301</v>
      </c>
      <c r="G30" s="18" t="n">
        <v>17.39715861</v>
      </c>
      <c r="H30" s="20" t="n">
        <v>2.72226483</v>
      </c>
      <c r="I30" s="18" t="s">
        <v>349</v>
      </c>
      <c r="J30" s="20" t="s">
        <v>349</v>
      </c>
      <c r="K30" s="18" t="n">
        <v>0</v>
      </c>
      <c r="L30" s="20" t="n">
        <v>0</v>
      </c>
      <c r="M30" s="18" t="n">
        <v>0</v>
      </c>
      <c r="N30" s="20" t="n">
        <v>0</v>
      </c>
      <c r="O30" s="18" t="n">
        <v>0</v>
      </c>
      <c r="P30" s="20" t="n">
        <v>0</v>
      </c>
      <c r="Q30" s="18" t="n">
        <v>7.1885123</v>
      </c>
      <c r="R30" s="20" t="n">
        <v>1.54096284</v>
      </c>
    </row>
    <row r="31" spans="1:18">
      <c r="A31" s="15" t="s">
        <v>373</v>
      </c>
      <c r="B31" s="17" t="n">
        <v>2750</v>
      </c>
      <c r="C31" s="18">
        <f>(2418.0/B31*100)</f>
        <v/>
      </c>
      <c r="D31" s="19" t="n">
        <v>332</v>
      </c>
      <c r="E31" s="18" t="n">
        <v>77.8420174</v>
      </c>
      <c r="F31" s="20" t="n">
        <v>2.13253532</v>
      </c>
      <c r="G31" s="18" t="n">
        <v>15.35249596</v>
      </c>
      <c r="H31" s="20" t="n">
        <v>1.91502066</v>
      </c>
      <c r="I31" s="18" t="s">
        <v>349</v>
      </c>
      <c r="J31" s="20" t="s">
        <v>349</v>
      </c>
      <c r="K31" s="18" t="n">
        <v>0.31914922</v>
      </c>
      <c r="L31" s="20" t="n">
        <v>0.30990835</v>
      </c>
      <c r="M31" s="18" t="n">
        <v>0</v>
      </c>
      <c r="N31" s="20" t="n">
        <v>0</v>
      </c>
      <c r="O31" s="18" t="n">
        <v>0</v>
      </c>
      <c r="P31" s="20" t="n">
        <v>0</v>
      </c>
      <c r="Q31" s="18" t="n">
        <v>6.48633743</v>
      </c>
      <c r="R31" s="20" t="n">
        <v>1.08236617</v>
      </c>
    </row>
    <row r="32" spans="1:18">
      <c r="A32" s="15" t="s">
        <v>374</v>
      </c>
      <c r="B32" s="17" t="n">
        <v>2269</v>
      </c>
      <c r="C32" s="18">
        <f>(1853.0/B32*100)</f>
        <v/>
      </c>
      <c r="D32" s="19" t="n">
        <v>416</v>
      </c>
      <c r="E32" s="18" t="n">
        <v>79.26710513</v>
      </c>
      <c r="F32" s="20" t="n">
        <v>2.20641554</v>
      </c>
      <c r="G32" s="18" t="n">
        <v>14.3021614</v>
      </c>
      <c r="H32" s="20" t="n">
        <v>1.85898256</v>
      </c>
      <c r="I32" s="18" t="s">
        <v>349</v>
      </c>
      <c r="J32" s="20" t="s">
        <v>349</v>
      </c>
      <c r="K32" s="18" t="n">
        <v>0</v>
      </c>
      <c r="L32" s="20" t="n">
        <v>0</v>
      </c>
      <c r="M32" s="18" t="n">
        <v>0</v>
      </c>
      <c r="N32" s="20" t="n">
        <v>0</v>
      </c>
      <c r="O32" s="18" t="n">
        <v>0</v>
      </c>
      <c r="P32" s="20" t="n">
        <v>0</v>
      </c>
      <c r="Q32" s="18" t="n">
        <v>6.43073347</v>
      </c>
      <c r="R32" s="20" t="n">
        <v>1.26340427</v>
      </c>
    </row>
    <row r="33" spans="1:18">
      <c r="A33" s="15" t="s">
        <v>375</v>
      </c>
      <c r="B33" s="17" t="n">
        <v>3674</v>
      </c>
      <c r="C33" s="18">
        <f>(3236.0/B33*100)</f>
        <v/>
      </c>
      <c r="D33" s="19" t="n">
        <v>438</v>
      </c>
      <c r="E33" s="18" t="n">
        <v>75.94388793</v>
      </c>
      <c r="F33" s="20" t="n">
        <v>2.86886663</v>
      </c>
      <c r="G33" s="18" t="n">
        <v>16.86264636</v>
      </c>
      <c r="H33" s="20" t="n">
        <v>2.48082116</v>
      </c>
      <c r="I33" s="18" t="s">
        <v>349</v>
      </c>
      <c r="J33" s="20" t="s">
        <v>349</v>
      </c>
      <c r="K33" s="18" t="n">
        <v>0.67946621</v>
      </c>
      <c r="L33" s="20" t="n">
        <v>0.78737528</v>
      </c>
      <c r="M33" s="18" t="n">
        <v>0</v>
      </c>
      <c r="N33" s="20" t="n">
        <v>0</v>
      </c>
      <c r="O33" s="18" t="n">
        <v>0</v>
      </c>
      <c r="P33" s="20" t="n">
        <v>0</v>
      </c>
      <c r="Q33" s="18" t="n">
        <v>6.5139995</v>
      </c>
      <c r="R33" s="20" t="n">
        <v>1.35364041</v>
      </c>
    </row>
    <row r="34" spans="1:18">
      <c r="A34" s="15" t="s">
        <v>376</v>
      </c>
      <c r="B34" s="17" t="n">
        <v>3315</v>
      </c>
      <c r="C34" s="18">
        <f>(2912.0/B34*100)</f>
        <v/>
      </c>
      <c r="D34" s="19" t="n">
        <v>403</v>
      </c>
      <c r="E34" s="18" t="n">
        <v>80.00881009</v>
      </c>
      <c r="F34" s="20" t="n">
        <v>1.95005676</v>
      </c>
      <c r="G34" s="18" t="n">
        <v>16.856694</v>
      </c>
      <c r="H34" s="20" t="n">
        <v>1.89035527</v>
      </c>
      <c r="I34" s="18" t="s">
        <v>349</v>
      </c>
      <c r="J34" s="20" t="s">
        <v>349</v>
      </c>
      <c r="K34" s="18" t="n">
        <v>0.20166716</v>
      </c>
      <c r="L34" s="20" t="n">
        <v>0.20106571</v>
      </c>
      <c r="M34" s="18" t="n">
        <v>0</v>
      </c>
      <c r="N34" s="20" t="n">
        <v>0</v>
      </c>
      <c r="O34" s="18" t="n">
        <v>0</v>
      </c>
      <c r="P34" s="20" t="n">
        <v>0</v>
      </c>
      <c r="Q34" s="18" t="n">
        <v>2.93282876</v>
      </c>
      <c r="R34" s="20" t="n">
        <v>0.6033261599999999</v>
      </c>
    </row>
    <row r="35" spans="1:18">
      <c r="A35" s="15" t="s">
        <v>377</v>
      </c>
      <c r="B35" s="17" t="n">
        <v>3505</v>
      </c>
      <c r="C35" s="18">
        <f>(3090.0/B35*100)</f>
        <v/>
      </c>
      <c r="D35" s="19" t="n">
        <v>415</v>
      </c>
      <c r="E35" s="18" t="n">
        <v>75.32519524999999</v>
      </c>
      <c r="F35" s="20" t="n">
        <v>2.82980523</v>
      </c>
      <c r="G35" s="18" t="n">
        <v>17.89940317</v>
      </c>
      <c r="H35" s="20" t="n">
        <v>2.64401497</v>
      </c>
      <c r="I35" s="18" t="s">
        <v>349</v>
      </c>
      <c r="J35" s="20" t="s">
        <v>349</v>
      </c>
      <c r="K35" s="18" t="n">
        <v>0.23195478</v>
      </c>
      <c r="L35" s="20" t="n">
        <v>0.16440335</v>
      </c>
      <c r="M35" s="18" t="n">
        <v>0</v>
      </c>
      <c r="N35" s="20" t="n">
        <v>0</v>
      </c>
      <c r="O35" s="18" t="n">
        <v>0</v>
      </c>
      <c r="P35" s="20" t="n">
        <v>0</v>
      </c>
      <c r="Q35" s="18" t="n">
        <v>6.5434468</v>
      </c>
      <c r="R35" s="20" t="n">
        <v>1.55153212</v>
      </c>
    </row>
    <row r="36" spans="1:18">
      <c r="A36" s="15" t="s">
        <v>378</v>
      </c>
      <c r="B36" s="17" t="n">
        <v>3332</v>
      </c>
      <c r="C36" s="18">
        <f>(2925.0/B36*100)</f>
        <v/>
      </c>
      <c r="D36" s="19" t="n">
        <v>407</v>
      </c>
      <c r="E36" s="18" t="n">
        <v>82.33129966</v>
      </c>
      <c r="F36" s="20" t="n">
        <v>1.85073776</v>
      </c>
      <c r="G36" s="18" t="n">
        <v>11.8374213</v>
      </c>
      <c r="H36" s="20" t="n">
        <v>1.47787985</v>
      </c>
      <c r="I36" s="18" t="s">
        <v>349</v>
      </c>
      <c r="J36" s="20" t="s">
        <v>349</v>
      </c>
      <c r="K36" s="18" t="n">
        <v>0.49738051</v>
      </c>
      <c r="L36" s="20" t="n">
        <v>0.38099413</v>
      </c>
      <c r="M36" s="18" t="n">
        <v>0</v>
      </c>
      <c r="N36" s="20" t="n">
        <v>0</v>
      </c>
      <c r="O36" s="18" t="n">
        <v>0</v>
      </c>
      <c r="P36" s="20" t="n">
        <v>0</v>
      </c>
      <c r="Q36" s="18" t="n">
        <v>5.33389854</v>
      </c>
      <c r="R36" s="20" t="n">
        <v>1.27450524</v>
      </c>
    </row>
    <row r="37" spans="1:18">
      <c r="A37" s="15" t="s">
        <v>379</v>
      </c>
      <c r="B37" s="17" t="n">
        <v>2727</v>
      </c>
      <c r="C37" s="18">
        <f>(2392.0/B37*100)</f>
        <v/>
      </c>
      <c r="D37" s="19" t="n">
        <v>335</v>
      </c>
      <c r="E37" s="18" t="n">
        <v>77.48275605000001</v>
      </c>
      <c r="F37" s="20" t="n">
        <v>2.00000635</v>
      </c>
      <c r="G37" s="18" t="n">
        <v>12.8538628</v>
      </c>
      <c r="H37" s="20" t="n">
        <v>1.57863689</v>
      </c>
      <c r="I37" s="18" t="s">
        <v>349</v>
      </c>
      <c r="J37" s="20" t="s">
        <v>349</v>
      </c>
      <c r="K37" s="18" t="n">
        <v>0.57335441</v>
      </c>
      <c r="L37" s="20" t="n">
        <v>0.46797563</v>
      </c>
      <c r="M37" s="18" t="n">
        <v>0</v>
      </c>
      <c r="N37" s="20" t="n">
        <v>0</v>
      </c>
      <c r="O37" s="18" t="n">
        <v>0</v>
      </c>
      <c r="P37" s="20" t="n">
        <v>0</v>
      </c>
      <c r="Q37" s="18" t="n">
        <v>9.090026740000001</v>
      </c>
      <c r="R37" s="20" t="n">
        <v>1.78608436</v>
      </c>
    </row>
    <row r="38" spans="1:18">
      <c r="A38" s="15" t="s">
        <v>380</v>
      </c>
      <c r="B38" s="17" t="n">
        <v>3053</v>
      </c>
      <c r="C38" s="18">
        <f>(2521.0/B38*100)</f>
        <v/>
      </c>
      <c r="D38" s="19" t="n">
        <v>532</v>
      </c>
      <c r="E38" s="18" t="n">
        <v>69.67176119</v>
      </c>
      <c r="F38" s="20" t="n">
        <v>2.33004104</v>
      </c>
      <c r="G38" s="18" t="n">
        <v>24.78835938</v>
      </c>
      <c r="H38" s="20" t="n">
        <v>2.22285736</v>
      </c>
      <c r="I38" s="18" t="s">
        <v>349</v>
      </c>
      <c r="J38" s="20" t="s">
        <v>349</v>
      </c>
      <c r="K38" s="18" t="n">
        <v>0.96336745</v>
      </c>
      <c r="L38" s="20" t="n">
        <v>0.52806444</v>
      </c>
      <c r="M38" s="18" t="n">
        <v>0</v>
      </c>
      <c r="N38" s="20" t="n">
        <v>0</v>
      </c>
      <c r="O38" s="18" t="n">
        <v>0</v>
      </c>
      <c r="P38" s="20" t="n">
        <v>0</v>
      </c>
      <c r="Q38" s="18" t="n">
        <v>4.57651199</v>
      </c>
      <c r="R38" s="20" t="n">
        <v>0.99595053</v>
      </c>
    </row>
    <row r="39" spans="1:18">
      <c r="A39" s="15" t="s">
        <v>381</v>
      </c>
      <c r="B39" s="17" t="n">
        <v>2957</v>
      </c>
      <c r="C39" s="18">
        <f>(2614.0/B39*100)</f>
        <v/>
      </c>
      <c r="D39" s="19" t="n">
        <v>343</v>
      </c>
      <c r="E39" s="18" t="n">
        <v>88.08714735</v>
      </c>
      <c r="F39" s="20" t="n">
        <v>1.95417873</v>
      </c>
      <c r="G39" s="18" t="n">
        <v>8.55107186</v>
      </c>
      <c r="H39" s="20" t="n">
        <v>1.69168818</v>
      </c>
      <c r="I39" s="18" t="s">
        <v>349</v>
      </c>
      <c r="J39" s="20" t="s">
        <v>349</v>
      </c>
      <c r="K39" s="18" t="n">
        <v>0</v>
      </c>
      <c r="L39" s="20" t="n">
        <v>0</v>
      </c>
      <c r="M39" s="18" t="n">
        <v>0</v>
      </c>
      <c r="N39" s="20" t="n">
        <v>0</v>
      </c>
      <c r="O39" s="18" t="n">
        <v>0</v>
      </c>
      <c r="P39" s="20" t="n">
        <v>0</v>
      </c>
      <c r="Q39" s="18" t="n">
        <v>3.36178078</v>
      </c>
      <c r="R39" s="20" t="n">
        <v>1.13733269</v>
      </c>
    </row>
    <row r="40" spans="1:18">
      <c r="A40" s="15" t="s">
        <v>382</v>
      </c>
      <c r="B40" s="17" t="n">
        <v>7235</v>
      </c>
      <c r="C40" s="18">
        <f>(6350.0/B40*100)</f>
        <v/>
      </c>
      <c r="D40" s="19" t="n">
        <v>885</v>
      </c>
      <c r="E40" s="18" t="n">
        <v>83.0155822</v>
      </c>
      <c r="F40" s="20" t="n">
        <v>1.97559355</v>
      </c>
      <c r="G40" s="18" t="n">
        <v>12.61275078</v>
      </c>
      <c r="H40" s="20" t="n">
        <v>1.81179628</v>
      </c>
      <c r="I40" s="18" t="s">
        <v>349</v>
      </c>
      <c r="J40" s="20" t="s">
        <v>349</v>
      </c>
      <c r="K40" s="18" t="n">
        <v>0</v>
      </c>
      <c r="L40" s="20" t="n">
        <v>0</v>
      </c>
      <c r="M40" s="18" t="n">
        <v>0</v>
      </c>
      <c r="N40" s="20" t="n">
        <v>0</v>
      </c>
      <c r="O40" s="18" t="n">
        <v>0</v>
      </c>
      <c r="P40" s="20" t="n">
        <v>0</v>
      </c>
      <c r="Q40" s="18" t="n">
        <v>4.37166702</v>
      </c>
      <c r="R40" s="20" t="n">
        <v>1.06044463</v>
      </c>
    </row>
    <row r="41" spans="1:18">
      <c r="A41" s="15" t="s">
        <v>383</v>
      </c>
      <c r="B41" s="17" t="n">
        <v>2858</v>
      </c>
      <c r="C41" s="18">
        <f>(2511.0/B41*100)</f>
        <v/>
      </c>
      <c r="D41" s="19" t="n">
        <v>347</v>
      </c>
      <c r="E41" s="18" t="n">
        <v>87.61064523</v>
      </c>
      <c r="F41" s="20" t="n">
        <v>2.02826624</v>
      </c>
      <c r="G41" s="18" t="n">
        <v>10.66182684</v>
      </c>
      <c r="H41" s="20" t="n">
        <v>1.85011477</v>
      </c>
      <c r="I41" s="18" t="s">
        <v>349</v>
      </c>
      <c r="J41" s="20" t="s">
        <v>349</v>
      </c>
      <c r="K41" s="18" t="n">
        <v>0</v>
      </c>
      <c r="L41" s="20" t="n">
        <v>0</v>
      </c>
      <c r="M41" s="18" t="n">
        <v>0</v>
      </c>
      <c r="N41" s="20" t="n">
        <v>0</v>
      </c>
      <c r="O41" s="18" t="n">
        <v>0</v>
      </c>
      <c r="P41" s="20" t="n">
        <v>0</v>
      </c>
      <c r="Q41" s="18" t="n">
        <v>1.72752793</v>
      </c>
      <c r="R41" s="20" t="n">
        <v>0.7106508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(9815.0/B46*100)</f>
        <v/>
      </c>
      <c r="D46" s="19" t="n">
        <v>1253</v>
      </c>
      <c r="E46" s="18" t="n">
        <v>87.68364745</v>
      </c>
      <c r="F46" s="20" t="n">
        <v>1.24903242</v>
      </c>
      <c r="G46" s="18" t="n">
        <v>3.71171369</v>
      </c>
      <c r="H46" s="20" t="n">
        <v>0.62308458</v>
      </c>
      <c r="I46" s="18" t="s">
        <v>349</v>
      </c>
      <c r="J46" s="20" t="s">
        <v>349</v>
      </c>
      <c r="K46" s="18" t="n">
        <v>0.8755541100000001</v>
      </c>
      <c r="L46" s="20" t="n">
        <v>0.34297136</v>
      </c>
      <c r="M46" s="18" t="n">
        <v>0</v>
      </c>
      <c r="N46" s="20" t="n">
        <v>0</v>
      </c>
      <c r="O46" s="18" t="n">
        <v>0</v>
      </c>
      <c r="P46" s="20" t="n">
        <v>0</v>
      </c>
      <c r="Q46" s="18" t="n">
        <v>7.72908474</v>
      </c>
      <c r="R46" s="20" t="n">
        <v>0.99167802</v>
      </c>
    </row>
    <row r="47" spans="1:18">
      <c r="A47" s="15" t="s">
        <v>389</v>
      </c>
      <c r="B47" s="17" t="n">
        <v>3105</v>
      </c>
      <c r="C47" s="18">
        <f>(2713.0/B47*100)</f>
        <v/>
      </c>
      <c r="D47" s="19" t="n">
        <v>392</v>
      </c>
      <c r="E47" s="18" t="n">
        <v>82.36878625</v>
      </c>
      <c r="F47" s="20" t="n">
        <v>2.05167028</v>
      </c>
      <c r="G47" s="18" t="n">
        <v>10.1219214</v>
      </c>
      <c r="H47" s="20" t="n">
        <v>1.60891395</v>
      </c>
      <c r="I47" s="18" t="s">
        <v>349</v>
      </c>
      <c r="J47" s="20" t="s">
        <v>349</v>
      </c>
      <c r="K47" s="18" t="n">
        <v>0.23806685</v>
      </c>
      <c r="L47" s="20" t="n">
        <v>0.23867962</v>
      </c>
      <c r="M47" s="18" t="n">
        <v>0</v>
      </c>
      <c r="N47" s="20" t="n">
        <v>0</v>
      </c>
      <c r="O47" s="18" t="n">
        <v>0</v>
      </c>
      <c r="P47" s="20" t="n">
        <v>0</v>
      </c>
      <c r="Q47" s="18" t="n">
        <v>7.2712255</v>
      </c>
      <c r="R47" s="20" t="n">
        <v>1.41644</v>
      </c>
    </row>
    <row r="48" spans="1:18">
      <c r="A48" s="15" t="s">
        <v>390</v>
      </c>
      <c r="B48" s="17" t="n">
        <v>5159</v>
      </c>
      <c r="C48" s="18">
        <f>(4547.0/B48*100)</f>
        <v/>
      </c>
      <c r="D48" s="19" t="n">
        <v>612</v>
      </c>
      <c r="E48" s="18" t="n">
        <v>60.45309917</v>
      </c>
      <c r="F48" s="20" t="n">
        <v>3.19295897</v>
      </c>
      <c r="G48" s="18" t="n">
        <v>36.65443259</v>
      </c>
      <c r="H48" s="20" t="n">
        <v>3.19101711</v>
      </c>
      <c r="I48" s="18" t="s">
        <v>349</v>
      </c>
      <c r="J48" s="20" t="s">
        <v>349</v>
      </c>
      <c r="K48" s="18" t="n">
        <v>0.83887491</v>
      </c>
      <c r="L48" s="20" t="n">
        <v>0.61641934</v>
      </c>
      <c r="M48" s="18" t="n">
        <v>0</v>
      </c>
      <c r="N48" s="20" t="n">
        <v>0</v>
      </c>
      <c r="O48" s="18" t="n">
        <v>0</v>
      </c>
      <c r="P48" s="20" t="n">
        <v>0</v>
      </c>
      <c r="Q48" s="18" t="n">
        <v>2.05359333</v>
      </c>
      <c r="R48" s="20" t="n">
        <v>0.6777985</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(4943.0/B50*100)</f>
        <v/>
      </c>
      <c r="D50" s="19" t="n">
        <v>694</v>
      </c>
      <c r="E50" s="18" t="n">
        <v>86.53663279</v>
      </c>
      <c r="F50" s="20" t="n">
        <v>1.86058532</v>
      </c>
      <c r="G50" s="18" t="n">
        <v>7.21341253</v>
      </c>
      <c r="H50" s="20" t="n">
        <v>1.27812839</v>
      </c>
      <c r="I50" s="18" t="s">
        <v>349</v>
      </c>
      <c r="J50" s="20" t="s">
        <v>349</v>
      </c>
      <c r="K50" s="18" t="n">
        <v>1.27756234</v>
      </c>
      <c r="L50" s="20" t="n">
        <v>0.74369311</v>
      </c>
      <c r="M50" s="18" t="n">
        <v>0</v>
      </c>
      <c r="N50" s="20" t="n">
        <v>0</v>
      </c>
      <c r="O50" s="18" t="n">
        <v>0</v>
      </c>
      <c r="P50" s="20" t="n">
        <v>0</v>
      </c>
      <c r="Q50" s="18" t="n">
        <v>4.97239235</v>
      </c>
      <c r="R50" s="20" t="n">
        <v>1.45008466</v>
      </c>
    </row>
    <row r="51" spans="1:18">
      <c r="A51" s="15" t="s">
        <v>393</v>
      </c>
      <c r="B51" s="17" t="n">
        <v>3372</v>
      </c>
      <c r="C51" s="18">
        <f>(2997.0/B51*100)</f>
        <v/>
      </c>
      <c r="D51" s="19" t="n">
        <v>375</v>
      </c>
      <c r="E51" s="18" t="n">
        <v>90.66707306000001</v>
      </c>
      <c r="F51" s="20" t="n">
        <v>1.41623144</v>
      </c>
      <c r="G51" s="18" t="n">
        <v>5.26253563</v>
      </c>
      <c r="H51" s="20" t="n">
        <v>1.10878246</v>
      </c>
      <c r="I51" s="18" t="s">
        <v>349</v>
      </c>
      <c r="J51" s="20" t="s">
        <v>349</v>
      </c>
      <c r="K51" s="18" t="n">
        <v>0.18081274</v>
      </c>
      <c r="L51" s="20" t="n">
        <v>0.1460215</v>
      </c>
      <c r="M51" s="18" t="n">
        <v>0</v>
      </c>
      <c r="N51" s="20" t="n">
        <v>0</v>
      </c>
      <c r="O51" s="18" t="n">
        <v>0</v>
      </c>
      <c r="P51" s="20" t="n">
        <v>0</v>
      </c>
      <c r="Q51" s="18" t="n">
        <v>3.88957857</v>
      </c>
      <c r="R51" s="20" t="n">
        <v>1.06962773</v>
      </c>
    </row>
    <row r="52" spans="1:18">
      <c r="A52" s="15" t="s">
        <v>394</v>
      </c>
      <c r="B52" s="17" t="n">
        <v>2796</v>
      </c>
      <c r="C52" s="18">
        <f>(2458.0/B52*100)</f>
        <v/>
      </c>
      <c r="D52" s="19" t="n">
        <v>338</v>
      </c>
      <c r="E52" s="18" t="n">
        <v>81.9864153</v>
      </c>
      <c r="F52" s="20" t="n">
        <v>2.11430251</v>
      </c>
      <c r="G52" s="18" t="n">
        <v>11.292975</v>
      </c>
      <c r="H52" s="20" t="n">
        <v>1.76837232</v>
      </c>
      <c r="I52" s="18" t="s">
        <v>349</v>
      </c>
      <c r="J52" s="20" t="s">
        <v>349</v>
      </c>
      <c r="K52" s="18" t="n">
        <v>0.9302588899999999</v>
      </c>
      <c r="L52" s="20" t="n">
        <v>0.57001102</v>
      </c>
      <c r="M52" s="18" t="n">
        <v>0</v>
      </c>
      <c r="N52" s="20" t="n">
        <v>0</v>
      </c>
      <c r="O52" s="18" t="n">
        <v>0</v>
      </c>
      <c r="P52" s="20" t="n">
        <v>0</v>
      </c>
      <c r="Q52" s="18" t="n">
        <v>5.79035081</v>
      </c>
      <c r="R52" s="20" t="n">
        <v>1.25934189</v>
      </c>
    </row>
    <row r="53" spans="1:18">
      <c r="A53" s="15" t="s">
        <v>395</v>
      </c>
      <c r="B53" s="17" t="n">
        <v>2811</v>
      </c>
      <c r="C53" s="18">
        <f>(2470.0/B53*100)</f>
        <v/>
      </c>
      <c r="D53" s="19" t="n">
        <v>341</v>
      </c>
      <c r="E53" s="18" t="n">
        <v>84.50918749</v>
      </c>
      <c r="F53" s="20" t="n">
        <v>1.75513208</v>
      </c>
      <c r="G53" s="18" t="n">
        <v>7.23126678</v>
      </c>
      <c r="H53" s="20" t="n">
        <v>1.42992309</v>
      </c>
      <c r="I53" s="18" t="s">
        <v>349</v>
      </c>
      <c r="J53" s="20" t="s">
        <v>349</v>
      </c>
      <c r="K53" s="18" t="n">
        <v>0.51098781</v>
      </c>
      <c r="L53" s="20" t="n">
        <v>0.36280374</v>
      </c>
      <c r="M53" s="18" t="n">
        <v>0</v>
      </c>
      <c r="N53" s="20" t="n">
        <v>0</v>
      </c>
      <c r="O53" s="18" t="n">
        <v>0</v>
      </c>
      <c r="P53" s="20" t="n">
        <v>0</v>
      </c>
      <c r="Q53" s="18" t="n">
        <v>7.74855792</v>
      </c>
      <c r="R53" s="20" t="n">
        <v>1.55418541</v>
      </c>
    </row>
    <row r="54" spans="1:18">
      <c r="A54" s="15" t="s">
        <v>396</v>
      </c>
      <c r="B54" s="17" t="n">
        <v>2266</v>
      </c>
      <c r="C54" s="18">
        <f>(1891.0/B54*100)</f>
        <v/>
      </c>
      <c r="D54" s="19" t="n">
        <v>375</v>
      </c>
      <c r="E54" s="18" t="n">
        <v>80.56129796</v>
      </c>
      <c r="F54" s="20" t="n">
        <v>2.48237969</v>
      </c>
      <c r="G54" s="18" t="n">
        <v>2.40255506</v>
      </c>
      <c r="H54" s="20" t="n">
        <v>0.86417466</v>
      </c>
      <c r="I54" s="18" t="s">
        <v>349</v>
      </c>
      <c r="J54" s="20" t="s">
        <v>349</v>
      </c>
      <c r="K54" s="18" t="n">
        <v>9.007316489999999</v>
      </c>
      <c r="L54" s="20" t="n">
        <v>1.91242433</v>
      </c>
      <c r="M54" s="18" t="n">
        <v>0</v>
      </c>
      <c r="N54" s="20" t="n">
        <v>0</v>
      </c>
      <c r="O54" s="18" t="n">
        <v>0</v>
      </c>
      <c r="P54" s="20" t="n">
        <v>0</v>
      </c>
      <c r="Q54" s="18" t="n">
        <v>8.028830490000001</v>
      </c>
      <c r="R54" s="20" t="n">
        <v>1.55788116</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(2349.0/B56*100)</f>
        <v/>
      </c>
      <c r="D56" s="19" t="n">
        <v>335</v>
      </c>
      <c r="E56" s="18" t="n">
        <v>69.81895952000001</v>
      </c>
      <c r="F56" s="20" t="n">
        <v>2.42543615</v>
      </c>
      <c r="G56" s="18" t="n">
        <v>27.21379751</v>
      </c>
      <c r="H56" s="20" t="n">
        <v>2.43856467</v>
      </c>
      <c r="I56" s="18" t="s">
        <v>349</v>
      </c>
      <c r="J56" s="20" t="s">
        <v>349</v>
      </c>
      <c r="K56" s="18" t="n">
        <v>0</v>
      </c>
      <c r="L56" s="20" t="n">
        <v>0</v>
      </c>
      <c r="M56" s="18" t="n">
        <v>0</v>
      </c>
      <c r="N56" s="20" t="n">
        <v>0</v>
      </c>
      <c r="O56" s="18" t="n">
        <v>0</v>
      </c>
      <c r="P56" s="20" t="n">
        <v>0</v>
      </c>
      <c r="Q56" s="18" t="n">
        <v>2.96724297</v>
      </c>
      <c r="R56" s="20" t="n">
        <v>0.92167714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(2924.0/B61*100)</f>
        <v/>
      </c>
      <c r="D61" s="19" t="n">
        <v>400</v>
      </c>
      <c r="E61" s="18" t="n">
        <v>83.8440918</v>
      </c>
      <c r="F61" s="20" t="n">
        <v>2.38317149</v>
      </c>
      <c r="G61" s="18" t="n">
        <v>12.49035894</v>
      </c>
      <c r="H61" s="20" t="n">
        <v>2.09240803</v>
      </c>
      <c r="I61" s="18" t="s">
        <v>349</v>
      </c>
      <c r="J61" s="20" t="s">
        <v>349</v>
      </c>
      <c r="K61" s="18" t="n">
        <v>0.37684167</v>
      </c>
      <c r="L61" s="20" t="n">
        <v>0.31326856</v>
      </c>
      <c r="M61" s="18" t="n">
        <v>0</v>
      </c>
      <c r="N61" s="20" t="n">
        <v>0</v>
      </c>
      <c r="O61" s="18" t="n">
        <v>0</v>
      </c>
      <c r="P61" s="20" t="n">
        <v>0</v>
      </c>
      <c r="Q61" s="18" t="n">
        <v>3.28870759</v>
      </c>
      <c r="R61" s="20" t="n">
        <v>1.04456408</v>
      </c>
    </row>
    <row r="62" spans="1:18">
      <c r="A62" s="15" t="s">
        <v>404</v>
      </c>
      <c r="B62" s="17" t="n">
        <v>2246</v>
      </c>
      <c r="C62" s="18">
        <f>(1957.0/B62*100)</f>
        <v/>
      </c>
      <c r="D62" s="19" t="n">
        <v>289</v>
      </c>
      <c r="E62" s="18" t="n">
        <v>68.86942623</v>
      </c>
      <c r="F62" s="20" t="n">
        <v>2.76960368</v>
      </c>
      <c r="G62" s="18" t="n">
        <v>30.44292305</v>
      </c>
      <c r="H62" s="20" t="n">
        <v>2.78860725</v>
      </c>
      <c r="I62" s="18" t="s">
        <v>349</v>
      </c>
      <c r="J62" s="20" t="s">
        <v>349</v>
      </c>
      <c r="K62" s="18" t="n">
        <v>0</v>
      </c>
      <c r="L62" s="20" t="n">
        <v>0</v>
      </c>
      <c r="M62" s="18" t="n">
        <v>0</v>
      </c>
      <c r="N62" s="20" t="n">
        <v>0</v>
      </c>
      <c r="O62" s="18" t="n">
        <v>0</v>
      </c>
      <c r="P62" s="20" t="n">
        <v>0</v>
      </c>
      <c r="Q62" s="18" t="n">
        <v>0.68765072</v>
      </c>
      <c r="R62" s="20" t="n">
        <v>0.48094269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(2539.0/B66*100)</f>
        <v/>
      </c>
      <c r="D66" s="19" t="n">
        <v>355</v>
      </c>
      <c r="E66" s="18" t="n">
        <v>81.32630365</v>
      </c>
      <c r="F66" s="20" t="n">
        <v>2.05028802</v>
      </c>
      <c r="G66" s="18" t="n">
        <v>6.20457631</v>
      </c>
      <c r="H66" s="20" t="n">
        <v>1.29503836</v>
      </c>
      <c r="I66" s="18" t="s">
        <v>349</v>
      </c>
      <c r="J66" s="20" t="s">
        <v>349</v>
      </c>
      <c r="K66" s="18" t="n">
        <v>0.82360318</v>
      </c>
      <c r="L66" s="20" t="n">
        <v>0.47490729</v>
      </c>
      <c r="M66" s="18" t="n">
        <v>0</v>
      </c>
      <c r="N66" s="20" t="n">
        <v>0</v>
      </c>
      <c r="O66" s="18" t="n">
        <v>0</v>
      </c>
      <c r="P66" s="20" t="n">
        <v>0</v>
      </c>
      <c r="Q66" s="18" t="n">
        <v>11.64551685</v>
      </c>
      <c r="R66" s="20" t="n">
        <v>1.73559504</v>
      </c>
    </row>
    <row r="67" spans="1:18">
      <c r="A67" s="15" t="s">
        <v>409</v>
      </c>
      <c r="B67" s="17" t="n">
        <v>3511</v>
      </c>
      <c r="C67" s="18">
        <f>(3112.0/B67*100)</f>
        <v/>
      </c>
      <c r="D67" s="19" t="n">
        <v>399</v>
      </c>
      <c r="E67" s="18" t="n">
        <v>76.63353254</v>
      </c>
      <c r="F67" s="20" t="n">
        <v>2.28497868</v>
      </c>
      <c r="G67" s="18" t="n">
        <v>18.35535037</v>
      </c>
      <c r="H67" s="20" t="n">
        <v>2.15919548</v>
      </c>
      <c r="I67" s="18" t="s">
        <v>349</v>
      </c>
      <c r="J67" s="20" t="s">
        <v>349</v>
      </c>
      <c r="K67" s="18" t="n">
        <v>0</v>
      </c>
      <c r="L67" s="20" t="n">
        <v>0</v>
      </c>
      <c r="M67" s="18" t="n">
        <v>0</v>
      </c>
      <c r="N67" s="20" t="n">
        <v>0</v>
      </c>
      <c r="O67" s="18" t="n">
        <v>0</v>
      </c>
      <c r="P67" s="20" t="n">
        <v>0</v>
      </c>
      <c r="Q67" s="18" t="n">
        <v>5.01111709</v>
      </c>
      <c r="R67" s="20" t="n">
        <v>1.30541723</v>
      </c>
    </row>
    <row r="68" spans="1:18">
      <c r="A68" s="15" t="s">
        <v>410</v>
      </c>
      <c r="B68" s="17" t="n">
        <v>6049</v>
      </c>
      <c r="C68" s="18">
        <f>(5035.0/B68*100)</f>
        <v/>
      </c>
      <c r="D68" s="19" t="n">
        <v>1014</v>
      </c>
      <c r="E68" s="18" t="n">
        <v>85.88306147999999</v>
      </c>
      <c r="F68" s="20" t="n">
        <v>1.06411951</v>
      </c>
      <c r="G68" s="18" t="n">
        <v>5.82036438</v>
      </c>
      <c r="H68" s="20" t="n">
        <v>0.73434137</v>
      </c>
      <c r="I68" s="18" t="s">
        <v>349</v>
      </c>
      <c r="J68" s="20" t="s">
        <v>349</v>
      </c>
      <c r="K68" s="18" t="n">
        <v>1.82700023</v>
      </c>
      <c r="L68" s="20" t="n">
        <v>0.39213228</v>
      </c>
      <c r="M68" s="18" t="n">
        <v>0</v>
      </c>
      <c r="N68" s="20" t="n">
        <v>0</v>
      </c>
      <c r="O68" s="18" t="n">
        <v>0</v>
      </c>
      <c r="P68" s="20" t="n">
        <v>0</v>
      </c>
      <c r="Q68" s="18" t="n">
        <v>6.46957391</v>
      </c>
      <c r="R68" s="20" t="n">
        <v>0.68482025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(2574.0/B70*100)</f>
        <v/>
      </c>
      <c r="D70" s="19" t="n">
        <v>355</v>
      </c>
      <c r="E70" s="18" t="n">
        <v>74.06397926</v>
      </c>
      <c r="F70" s="20" t="n">
        <v>1.85653003</v>
      </c>
      <c r="G70" s="18" t="n">
        <v>21.17160686</v>
      </c>
      <c r="H70" s="20" t="n">
        <v>2.07601097</v>
      </c>
      <c r="I70" s="18" t="s">
        <v>349</v>
      </c>
      <c r="J70" s="20" t="s">
        <v>349</v>
      </c>
      <c r="K70" s="18" t="n">
        <v>0</v>
      </c>
      <c r="L70" s="20" t="n">
        <v>0</v>
      </c>
      <c r="M70" s="18" t="n">
        <v>0</v>
      </c>
      <c r="N70" s="20" t="n">
        <v>0</v>
      </c>
      <c r="O70" s="18" t="n">
        <v>0</v>
      </c>
      <c r="P70" s="20" t="n">
        <v>0</v>
      </c>
      <c r="Q70" s="18" t="n">
        <v>4.76441389</v>
      </c>
      <c r="R70" s="20" t="n">
        <v>1.07996913</v>
      </c>
    </row>
    <row r="71" spans="1:18">
      <c r="A71" s="15" t="s">
        <v>413</v>
      </c>
      <c r="B71" s="17" t="n">
        <v>3142</v>
      </c>
      <c r="C71" s="18">
        <f>(2755.0/B71*100)</f>
        <v/>
      </c>
      <c r="D71" s="19" t="n">
        <v>387</v>
      </c>
      <c r="E71" s="18" t="n">
        <v>60.49756133</v>
      </c>
      <c r="F71" s="20" t="n">
        <v>2.6048213</v>
      </c>
      <c r="G71" s="18" t="n">
        <v>36.88555055</v>
      </c>
      <c r="H71" s="20" t="n">
        <v>2.66381679</v>
      </c>
      <c r="I71" s="18" t="s">
        <v>349</v>
      </c>
      <c r="J71" s="20" t="s">
        <v>349</v>
      </c>
      <c r="K71" s="18" t="n">
        <v>0.27329043</v>
      </c>
      <c r="L71" s="20" t="n">
        <v>0.25921558</v>
      </c>
      <c r="M71" s="18" t="n">
        <v>0</v>
      </c>
      <c r="N71" s="20" t="n">
        <v>0</v>
      </c>
      <c r="O71" s="18" t="n">
        <v>0</v>
      </c>
      <c r="P71" s="20" t="n">
        <v>0</v>
      </c>
      <c r="Q71" s="18" t="n">
        <v>2.34359769</v>
      </c>
      <c r="R71" s="20" t="n">
        <v>0.70422729</v>
      </c>
    </row>
    <row r="72" spans="1:18">
      <c r="A72" s="15" t="s">
        <v>414</v>
      </c>
      <c r="B72" s="17" t="n">
        <v>3889</v>
      </c>
      <c r="C72" s="18">
        <f>(3408.0/B72*100)</f>
        <v/>
      </c>
      <c r="D72" s="19" t="n">
        <v>481</v>
      </c>
      <c r="E72" s="18" t="n">
        <v>58.78964672</v>
      </c>
      <c r="F72" s="20" t="n">
        <v>2.58445571</v>
      </c>
      <c r="G72" s="18" t="n">
        <v>39.94543386</v>
      </c>
      <c r="H72" s="20" t="n">
        <v>2.74624466</v>
      </c>
      <c r="I72" s="18" t="s">
        <v>349</v>
      </c>
      <c r="J72" s="20" t="s">
        <v>349</v>
      </c>
      <c r="K72" s="18" t="n">
        <v>0.14151252</v>
      </c>
      <c r="L72" s="20" t="n">
        <v>0.1412392</v>
      </c>
      <c r="M72" s="18" t="n">
        <v>0</v>
      </c>
      <c r="N72" s="20" t="n">
        <v>0</v>
      </c>
      <c r="O72" s="18" t="n">
        <v>0</v>
      </c>
      <c r="P72" s="20" t="n">
        <v>0</v>
      </c>
      <c r="Q72" s="18" t="n">
        <v>1.12340691</v>
      </c>
      <c r="R72" s="20" t="n">
        <v>0.48380662</v>
      </c>
    </row>
    <row r="73" spans="1:18">
      <c r="A73" s="15" t="s">
        <v>415</v>
      </c>
      <c r="B73" s="17" t="n">
        <v>3597</v>
      </c>
      <c r="C73" s="18">
        <f>(3163.0/B73*100)</f>
        <v/>
      </c>
      <c r="D73" s="19" t="n">
        <v>434</v>
      </c>
      <c r="E73" s="18" t="n">
        <v>84.33577749</v>
      </c>
      <c r="F73" s="20" t="n">
        <v>2.33346662</v>
      </c>
      <c r="G73" s="18" t="n">
        <v>13.13374576</v>
      </c>
      <c r="H73" s="20" t="n">
        <v>2.16742821</v>
      </c>
      <c r="I73" s="18" t="s">
        <v>349</v>
      </c>
      <c r="J73" s="20" t="s">
        <v>349</v>
      </c>
      <c r="K73" s="18" t="n">
        <v>0</v>
      </c>
      <c r="L73" s="20" t="n">
        <v>0</v>
      </c>
      <c r="M73" s="18" t="n">
        <v>0</v>
      </c>
      <c r="N73" s="20" t="n">
        <v>0</v>
      </c>
      <c r="O73" s="18" t="n">
        <v>0</v>
      </c>
      <c r="P73" s="20" t="n">
        <v>0</v>
      </c>
      <c r="Q73" s="18" t="n">
        <v>2.53047675</v>
      </c>
      <c r="R73" s="20" t="n">
        <v>1.17051165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(2115.0/B75*100)</f>
        <v/>
      </c>
      <c r="D75" s="19" t="n">
        <v>291</v>
      </c>
      <c r="E75" s="18" t="n">
        <v>89.62574275</v>
      </c>
      <c r="F75" s="20" t="n">
        <v>1.72777066</v>
      </c>
      <c r="G75" s="18" t="n">
        <v>4.53633855</v>
      </c>
      <c r="H75" s="20" t="n">
        <v>0.92505298</v>
      </c>
      <c r="I75" s="18" t="s">
        <v>349</v>
      </c>
      <c r="J75" s="20" t="s">
        <v>349</v>
      </c>
      <c r="K75" s="18" t="n">
        <v>0.39815891</v>
      </c>
      <c r="L75" s="20" t="n">
        <v>0.35082428</v>
      </c>
      <c r="M75" s="18" t="n">
        <v>0</v>
      </c>
      <c r="N75" s="20" t="n">
        <v>0</v>
      </c>
      <c r="O75" s="18" t="n">
        <v>0</v>
      </c>
      <c r="P75" s="20" t="n">
        <v>0</v>
      </c>
      <c r="Q75" s="18" t="n">
        <v>5.43975979</v>
      </c>
      <c r="R75" s="20" t="n">
        <v>1.51474961</v>
      </c>
    </row>
    <row r="76" spans="1:18">
      <c r="A76" s="15" t="s">
        <v>418</v>
      </c>
      <c r="B76" s="17" t="n">
        <v>7052</v>
      </c>
      <c r="C76" s="18">
        <f>(6195.0/B76*100)</f>
        <v/>
      </c>
      <c r="D76" s="19" t="n">
        <v>857</v>
      </c>
      <c r="E76" s="18" t="n">
        <v>87.36419859</v>
      </c>
      <c r="F76" s="20" t="n">
        <v>1.20870905</v>
      </c>
      <c r="G76" s="18" t="n">
        <v>7.83794651</v>
      </c>
      <c r="H76" s="20" t="n">
        <v>1.05995417</v>
      </c>
      <c r="I76" s="18" t="s">
        <v>349</v>
      </c>
      <c r="J76" s="20" t="s">
        <v>349</v>
      </c>
      <c r="K76" s="18" t="n">
        <v>1.09860452</v>
      </c>
      <c r="L76" s="20" t="n">
        <v>0.38947275</v>
      </c>
      <c r="M76" s="18" t="n">
        <v>0</v>
      </c>
      <c r="N76" s="20" t="n">
        <v>0</v>
      </c>
      <c r="O76" s="18" t="n">
        <v>0</v>
      </c>
      <c r="P76" s="20" t="n">
        <v>0</v>
      </c>
      <c r="Q76" s="18" t="n">
        <v>3.69925037</v>
      </c>
      <c r="R76" s="20" t="n">
        <v>0.69626835</v>
      </c>
    </row>
    <row r="77" spans="1:18">
      <c r="A77" s="15" t="s">
        <v>419</v>
      </c>
      <c r="B77" s="17" t="n">
        <v>2908</v>
      </c>
      <c r="C77" s="18">
        <f>(2536.0/B77*100)</f>
        <v/>
      </c>
      <c r="D77" s="19" t="n">
        <v>372</v>
      </c>
      <c r="E77" s="18" t="n">
        <v>86.91064423</v>
      </c>
      <c r="F77" s="20" t="n">
        <v>1.74274281</v>
      </c>
      <c r="G77" s="18" t="n">
        <v>4.68086981</v>
      </c>
      <c r="H77" s="20" t="n">
        <v>1.11050705</v>
      </c>
      <c r="I77" s="18" t="s">
        <v>349</v>
      </c>
      <c r="J77" s="20" t="s">
        <v>349</v>
      </c>
      <c r="K77" s="18" t="n">
        <v>1.57378769</v>
      </c>
      <c r="L77" s="20" t="n">
        <v>0.75797757</v>
      </c>
      <c r="M77" s="18" t="n">
        <v>0</v>
      </c>
      <c r="N77" s="20" t="n">
        <v>0</v>
      </c>
      <c r="O77" s="18" t="n">
        <v>0</v>
      </c>
      <c r="P77" s="20" t="n">
        <v>0</v>
      </c>
      <c r="Q77" s="18" t="n">
        <v>6.83469827</v>
      </c>
      <c r="R77" s="20" t="n">
        <v>1.34711524</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(3652.0/B81*100)</f>
        <v/>
      </c>
      <c r="D81" s="19" t="n">
        <v>511</v>
      </c>
      <c r="E81" s="18" t="n">
        <v>82.0128528</v>
      </c>
      <c r="F81" s="20" t="n">
        <v>2.16589833</v>
      </c>
      <c r="G81" s="18" t="n">
        <v>16.47626277</v>
      </c>
      <c r="H81" s="20" t="n">
        <v>2.00864555</v>
      </c>
      <c r="I81" s="18" t="s">
        <v>349</v>
      </c>
      <c r="J81" s="20" t="s">
        <v>349</v>
      </c>
      <c r="K81" s="18" t="n">
        <v>0.31235018</v>
      </c>
      <c r="L81" s="20" t="n">
        <v>0.21945241</v>
      </c>
      <c r="M81" s="18" t="n">
        <v>0</v>
      </c>
      <c r="N81" s="20" t="n">
        <v>0</v>
      </c>
      <c r="O81" s="18" t="n">
        <v>0</v>
      </c>
      <c r="P81" s="20" t="n">
        <v>0</v>
      </c>
      <c r="Q81" s="18" t="n">
        <v>1.19853425</v>
      </c>
      <c r="R81" s="20" t="n">
        <v>0.65358994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(6488.0/B7*100)</f>
        <v/>
      </c>
      <c r="D7" s="19" t="n">
        <v>879</v>
      </c>
      <c r="E7" s="18" t="n">
        <v>62.95486323</v>
      </c>
      <c r="F7" s="20" t="n">
        <v>1.99518417</v>
      </c>
      <c r="G7" s="18" t="n">
        <v>6.42026661</v>
      </c>
      <c r="H7" s="20" t="n">
        <v>1.05385306</v>
      </c>
      <c r="I7" s="18" t="s">
        <v>349</v>
      </c>
      <c r="J7" s="20" t="s">
        <v>349</v>
      </c>
      <c r="K7" s="18" t="n">
        <v>0.66857124</v>
      </c>
      <c r="L7" s="20" t="n">
        <v>0.31485364</v>
      </c>
      <c r="M7" s="18" t="n">
        <v>0.01503469</v>
      </c>
      <c r="N7" s="20" t="n">
        <v>0.01516314</v>
      </c>
      <c r="O7" s="18" t="n">
        <v>0</v>
      </c>
      <c r="P7" s="20" t="n">
        <v>0</v>
      </c>
      <c r="Q7" s="18" t="n">
        <v>29.94126423</v>
      </c>
      <c r="R7" s="20" t="n">
        <v>1.71602592</v>
      </c>
    </row>
    <row r="8" spans="1:18">
      <c r="A8" s="15" t="s">
        <v>350</v>
      </c>
      <c r="B8" s="17" t="n">
        <v>3564</v>
      </c>
      <c r="C8" s="18">
        <f>(3099.0/B8*100)</f>
        <v/>
      </c>
      <c r="D8" s="19" t="n">
        <v>465</v>
      </c>
      <c r="E8" s="18" t="n">
        <v>48.0101814</v>
      </c>
      <c r="F8" s="20" t="n">
        <v>2.62530245</v>
      </c>
      <c r="G8" s="18" t="n">
        <v>11.68754495</v>
      </c>
      <c r="H8" s="20" t="n">
        <v>1.51567133</v>
      </c>
      <c r="I8" s="18" t="s">
        <v>349</v>
      </c>
      <c r="J8" s="20" t="s">
        <v>349</v>
      </c>
      <c r="K8" s="18" t="n">
        <v>0.25391063</v>
      </c>
      <c r="L8" s="20" t="n">
        <v>0.24820124</v>
      </c>
      <c r="M8" s="18" t="n">
        <v>0</v>
      </c>
      <c r="N8" s="20" t="n">
        <v>0</v>
      </c>
      <c r="O8" s="18" t="n">
        <v>0</v>
      </c>
      <c r="P8" s="20" t="n">
        <v>0</v>
      </c>
      <c r="Q8" s="18" t="n">
        <v>40.04836302</v>
      </c>
      <c r="R8" s="20" t="n">
        <v>2.46940561</v>
      </c>
    </row>
    <row r="9" spans="1:18">
      <c r="A9" s="15" t="s">
        <v>351</v>
      </c>
      <c r="B9" s="17" t="n">
        <v>4899</v>
      </c>
      <c r="C9" s="18">
        <f>(4315.0/B9*100)</f>
        <v/>
      </c>
      <c r="D9" s="19" t="n">
        <v>584</v>
      </c>
      <c r="E9" s="18" t="n">
        <v>55.88283816</v>
      </c>
      <c r="F9" s="20" t="n">
        <v>2.0856956</v>
      </c>
      <c r="G9" s="18" t="n">
        <v>11.47044686</v>
      </c>
      <c r="H9" s="20" t="n">
        <v>1.38304237</v>
      </c>
      <c r="I9" s="18" t="s">
        <v>349</v>
      </c>
      <c r="J9" s="20" t="s">
        <v>349</v>
      </c>
      <c r="K9" s="18" t="n">
        <v>0</v>
      </c>
      <c r="L9" s="20" t="n">
        <v>0</v>
      </c>
      <c r="M9" s="18" t="n">
        <v>0</v>
      </c>
      <c r="N9" s="20" t="n">
        <v>0</v>
      </c>
      <c r="O9" s="18" t="n">
        <v>0</v>
      </c>
      <c r="P9" s="20" t="n">
        <v>0</v>
      </c>
      <c r="Q9" s="18" t="n">
        <v>32.64671497</v>
      </c>
      <c r="R9" s="20" t="n">
        <v>2.00677826</v>
      </c>
    </row>
    <row r="10" spans="1:18">
      <c r="A10" s="15" t="s">
        <v>352</v>
      </c>
      <c r="B10" s="17" t="n">
        <v>10036</v>
      </c>
      <c r="C10" s="18">
        <f>(8809.0/B10*100)</f>
        <v/>
      </c>
      <c r="D10" s="19" t="n">
        <v>1227</v>
      </c>
      <c r="E10" s="18" t="n">
        <v>66.67342142</v>
      </c>
      <c r="F10" s="20" t="n">
        <v>1.86448437</v>
      </c>
      <c r="G10" s="18" t="n">
        <v>8.2657425</v>
      </c>
      <c r="H10" s="20" t="n">
        <v>1.1353758</v>
      </c>
      <c r="I10" s="18" t="s">
        <v>349</v>
      </c>
      <c r="J10" s="20" t="s">
        <v>349</v>
      </c>
      <c r="K10" s="18" t="n">
        <v>0.81819643</v>
      </c>
      <c r="L10" s="20" t="n">
        <v>0.38896067</v>
      </c>
      <c r="M10" s="18" t="n">
        <v>0.07263646999999999</v>
      </c>
      <c r="N10" s="20" t="n">
        <v>0.03857884</v>
      </c>
      <c r="O10" s="18" t="n">
        <v>0</v>
      </c>
      <c r="P10" s="20" t="n">
        <v>0</v>
      </c>
      <c r="Q10" s="18" t="n">
        <v>24.17000318</v>
      </c>
      <c r="R10" s="20" t="n">
        <v>1.72379249</v>
      </c>
    </row>
    <row r="11" spans="1:18">
      <c r="A11" s="15" t="s">
        <v>353</v>
      </c>
      <c r="B11" s="17" t="n">
        <v>3553</v>
      </c>
      <c r="C11" s="18">
        <f>(3107.0/B11*100)</f>
        <v/>
      </c>
      <c r="D11" s="19" t="n">
        <v>446</v>
      </c>
      <c r="E11" s="18" t="n">
        <v>46.25603268</v>
      </c>
      <c r="F11" s="20" t="n">
        <v>2.83325111</v>
      </c>
      <c r="G11" s="18" t="n">
        <v>2.0664549</v>
      </c>
      <c r="H11" s="20" t="n">
        <v>0.70861958</v>
      </c>
      <c r="I11" s="18" t="s">
        <v>349</v>
      </c>
      <c r="J11" s="20" t="s">
        <v>349</v>
      </c>
      <c r="K11" s="18" t="n">
        <v>0.70230617</v>
      </c>
      <c r="L11" s="20" t="n">
        <v>0.44700919</v>
      </c>
      <c r="M11" s="18" t="n">
        <v>0</v>
      </c>
      <c r="N11" s="20" t="n">
        <v>0</v>
      </c>
      <c r="O11" s="18" t="n">
        <v>0</v>
      </c>
      <c r="P11" s="20" t="n">
        <v>0</v>
      </c>
      <c r="Q11" s="18" t="n">
        <v>50.97520625</v>
      </c>
      <c r="R11" s="20" t="n">
        <v>2.79069983</v>
      </c>
    </row>
    <row r="12" spans="1:18">
      <c r="A12" s="15" t="s">
        <v>354</v>
      </c>
      <c r="B12" s="17" t="n">
        <v>3472</v>
      </c>
      <c r="C12" s="18">
        <f>(3044.0/B12*100)</f>
        <v/>
      </c>
      <c r="D12" s="19" t="n">
        <v>428</v>
      </c>
      <c r="E12" s="18" t="n">
        <v>39.47773045</v>
      </c>
      <c r="F12" s="20" t="n">
        <v>2.85106496</v>
      </c>
      <c r="G12" s="18" t="n">
        <v>5.39491197</v>
      </c>
      <c r="H12" s="20" t="n">
        <v>1.06924345</v>
      </c>
      <c r="I12" s="18" t="s">
        <v>349</v>
      </c>
      <c r="J12" s="20" t="s">
        <v>349</v>
      </c>
      <c r="K12" s="18" t="n">
        <v>0.32206778</v>
      </c>
      <c r="L12" s="20" t="n">
        <v>0.52541808</v>
      </c>
      <c r="M12" s="18" t="n">
        <v>0.10166765</v>
      </c>
      <c r="N12" s="20" t="n">
        <v>0.10443685</v>
      </c>
      <c r="O12" s="18" t="n">
        <v>0</v>
      </c>
      <c r="P12" s="20" t="n">
        <v>0</v>
      </c>
      <c r="Q12" s="18" t="n">
        <v>54.70362214</v>
      </c>
      <c r="R12" s="20" t="n">
        <v>2.8854515</v>
      </c>
    </row>
    <row r="13" spans="1:18">
      <c r="A13" s="15" t="s">
        <v>355</v>
      </c>
      <c r="B13" s="17" t="n">
        <v>3559</v>
      </c>
      <c r="C13" s="18">
        <f>(3127.0/B13*100)</f>
        <v/>
      </c>
      <c r="D13" s="19" t="n">
        <v>432</v>
      </c>
      <c r="E13" s="18" t="n">
        <v>56.15036525</v>
      </c>
      <c r="F13" s="20" t="n">
        <v>2.41387143</v>
      </c>
      <c r="G13" s="18" t="n">
        <v>7.49732875</v>
      </c>
      <c r="H13" s="20" t="n">
        <v>1.68131667</v>
      </c>
      <c r="I13" s="18" t="s">
        <v>349</v>
      </c>
      <c r="J13" s="20" t="s">
        <v>349</v>
      </c>
      <c r="K13" s="18" t="n">
        <v>0.55722311</v>
      </c>
      <c r="L13" s="20" t="n">
        <v>0.37552526</v>
      </c>
      <c r="M13" s="18" t="n">
        <v>0.20409794</v>
      </c>
      <c r="N13" s="20" t="n">
        <v>0.20762622</v>
      </c>
      <c r="O13" s="18" t="n">
        <v>0</v>
      </c>
      <c r="P13" s="20" t="n">
        <v>0</v>
      </c>
      <c r="Q13" s="18" t="n">
        <v>35.59098495</v>
      </c>
      <c r="R13" s="20" t="n">
        <v>2.74272688</v>
      </c>
    </row>
    <row r="14" spans="1:18">
      <c r="A14" s="15" t="s">
        <v>356</v>
      </c>
      <c r="B14" s="17" t="n">
        <v>2799</v>
      </c>
      <c r="C14" s="18">
        <f>(2469.0/B14*100)</f>
        <v/>
      </c>
      <c r="D14" s="19" t="n">
        <v>330</v>
      </c>
      <c r="E14" s="18" t="n">
        <v>53.71169577</v>
      </c>
      <c r="F14" s="20" t="n">
        <v>2.69230335</v>
      </c>
      <c r="G14" s="18" t="n">
        <v>8.02714746</v>
      </c>
      <c r="H14" s="20" t="n">
        <v>1.3082157</v>
      </c>
      <c r="I14" s="18" t="s">
        <v>349</v>
      </c>
      <c r="J14" s="20" t="s">
        <v>349</v>
      </c>
      <c r="K14" s="18" t="n">
        <v>0</v>
      </c>
      <c r="L14" s="20" t="n">
        <v>0</v>
      </c>
      <c r="M14" s="18" t="n">
        <v>0</v>
      </c>
      <c r="N14" s="20" t="n">
        <v>0</v>
      </c>
      <c r="O14" s="18" t="n">
        <v>0</v>
      </c>
      <c r="P14" s="20" t="n">
        <v>0</v>
      </c>
      <c r="Q14" s="18" t="n">
        <v>38.26115677</v>
      </c>
      <c r="R14" s="20" t="n">
        <v>2.74717929</v>
      </c>
    </row>
    <row r="15" spans="1:18">
      <c r="A15" s="15" t="s">
        <v>357</v>
      </c>
      <c r="B15" s="17" t="n">
        <v>3019</v>
      </c>
      <c r="C15" s="18">
        <f>(2644.0/B15*100)</f>
        <v/>
      </c>
      <c r="D15" s="19" t="n">
        <v>375</v>
      </c>
      <c r="E15" s="18" t="n">
        <v>46.27628937</v>
      </c>
      <c r="F15" s="20" t="n">
        <v>2.6847905</v>
      </c>
      <c r="G15" s="18" t="n">
        <v>6.93736352</v>
      </c>
      <c r="H15" s="20" t="n">
        <v>1.46292524</v>
      </c>
      <c r="I15" s="18" t="s">
        <v>349</v>
      </c>
      <c r="J15" s="20" t="s">
        <v>349</v>
      </c>
      <c r="K15" s="18" t="n">
        <v>0</v>
      </c>
      <c r="L15" s="20" t="n">
        <v>0</v>
      </c>
      <c r="M15" s="18" t="n">
        <v>0</v>
      </c>
      <c r="N15" s="20" t="n">
        <v>0</v>
      </c>
      <c r="O15" s="18" t="n">
        <v>0</v>
      </c>
      <c r="P15" s="20" t="n">
        <v>0</v>
      </c>
      <c r="Q15" s="18" t="n">
        <v>46.78634711</v>
      </c>
      <c r="R15" s="20" t="n">
        <v>2.67497293</v>
      </c>
    </row>
    <row r="16" spans="1:18">
      <c r="A16" s="15" t="s">
        <v>358</v>
      </c>
      <c r="B16" s="17" t="n">
        <v>2997</v>
      </c>
      <c r="C16" s="18">
        <f>(2619.0/B16*100)</f>
        <v/>
      </c>
      <c r="D16" s="19" t="n">
        <v>378</v>
      </c>
      <c r="E16" s="18" t="n">
        <v>42.24628169</v>
      </c>
      <c r="F16" s="20" t="n">
        <v>2.76993196</v>
      </c>
      <c r="G16" s="18" t="n">
        <v>7.63601598</v>
      </c>
      <c r="H16" s="20" t="n">
        <v>1.38087711</v>
      </c>
      <c r="I16" s="18" t="s">
        <v>349</v>
      </c>
      <c r="J16" s="20" t="s">
        <v>349</v>
      </c>
      <c r="K16" s="18" t="n">
        <v>0.27855467</v>
      </c>
      <c r="L16" s="20" t="n">
        <v>0.28015435</v>
      </c>
      <c r="M16" s="18" t="n">
        <v>0</v>
      </c>
      <c r="N16" s="20" t="n">
        <v>0</v>
      </c>
      <c r="O16" s="18" t="n">
        <v>0</v>
      </c>
      <c r="P16" s="20" t="n">
        <v>0</v>
      </c>
      <c r="Q16" s="18" t="n">
        <v>49.83914766</v>
      </c>
      <c r="R16" s="20" t="n">
        <v>2.56330189</v>
      </c>
    </row>
    <row r="17" spans="1:18">
      <c r="A17" s="15" t="s">
        <v>359</v>
      </c>
      <c r="B17" s="17" t="n">
        <v>3307</v>
      </c>
      <c r="C17" s="18">
        <f>(2885.0/B17*100)</f>
        <v/>
      </c>
      <c r="D17" s="19" t="n">
        <v>422</v>
      </c>
      <c r="E17" s="18" t="n">
        <v>43.44757246</v>
      </c>
      <c r="F17" s="20" t="n">
        <v>2.10545585</v>
      </c>
      <c r="G17" s="18" t="n">
        <v>8.582699359999999</v>
      </c>
      <c r="H17" s="20" t="n">
        <v>1.33406572</v>
      </c>
      <c r="I17" s="18" t="s">
        <v>349</v>
      </c>
      <c r="J17" s="20" t="s">
        <v>349</v>
      </c>
      <c r="K17" s="18" t="n">
        <v>0.27703525</v>
      </c>
      <c r="L17" s="20" t="n">
        <v>0.30806107</v>
      </c>
      <c r="M17" s="18" t="n">
        <v>0</v>
      </c>
      <c r="N17" s="20" t="n">
        <v>0</v>
      </c>
      <c r="O17" s="18" t="n">
        <v>0</v>
      </c>
      <c r="P17" s="20" t="n">
        <v>0</v>
      </c>
      <c r="Q17" s="18" t="n">
        <v>47.69269294</v>
      </c>
      <c r="R17" s="20" t="n">
        <v>2.24094383</v>
      </c>
    </row>
    <row r="18" spans="1:18">
      <c r="A18" s="15" t="s">
        <v>360</v>
      </c>
      <c r="B18" s="17" t="n">
        <v>2826</v>
      </c>
      <c r="C18" s="18">
        <f>(2479.0/B18*100)</f>
        <v/>
      </c>
      <c r="D18" s="19" t="n">
        <v>347</v>
      </c>
      <c r="E18" s="18" t="n">
        <v>49.71347884</v>
      </c>
      <c r="F18" s="20" t="n">
        <v>3.03534058</v>
      </c>
      <c r="G18" s="18" t="n">
        <v>5.36525869</v>
      </c>
      <c r="H18" s="20" t="n">
        <v>1.43108519</v>
      </c>
      <c r="I18" s="18" t="s">
        <v>349</v>
      </c>
      <c r="J18" s="20" t="s">
        <v>349</v>
      </c>
      <c r="K18" s="18" t="n">
        <v>0.83655322</v>
      </c>
      <c r="L18" s="20" t="n">
        <v>0.82304214</v>
      </c>
      <c r="M18" s="18" t="n">
        <v>0</v>
      </c>
      <c r="N18" s="20" t="n">
        <v>0</v>
      </c>
      <c r="O18" s="18" t="n">
        <v>0</v>
      </c>
      <c r="P18" s="20" t="n">
        <v>0</v>
      </c>
      <c r="Q18" s="18" t="n">
        <v>44.08470925</v>
      </c>
      <c r="R18" s="20" t="n">
        <v>2.59947901</v>
      </c>
    </row>
    <row r="19" spans="1:18">
      <c r="A19" s="15" t="s">
        <v>361</v>
      </c>
      <c r="B19" s="17" t="n">
        <v>2808</v>
      </c>
      <c r="C19" s="18">
        <f>(2467.0/B19*100)</f>
        <v/>
      </c>
      <c r="D19" s="19" t="n">
        <v>341</v>
      </c>
      <c r="E19" s="18" t="n">
        <v>40.25564553</v>
      </c>
      <c r="F19" s="20" t="n">
        <v>2.52877037</v>
      </c>
      <c r="G19" s="18" t="n">
        <v>7.99330913</v>
      </c>
      <c r="H19" s="20" t="n">
        <v>1.62429617</v>
      </c>
      <c r="I19" s="18" t="s">
        <v>349</v>
      </c>
      <c r="J19" s="20" t="s">
        <v>349</v>
      </c>
      <c r="K19" s="18" t="n">
        <v>0.22943772</v>
      </c>
      <c r="L19" s="20" t="n">
        <v>0.2333793</v>
      </c>
      <c r="M19" s="18" t="n">
        <v>0</v>
      </c>
      <c r="N19" s="20" t="n">
        <v>0</v>
      </c>
      <c r="O19" s="18" t="n">
        <v>0</v>
      </c>
      <c r="P19" s="20" t="n">
        <v>0</v>
      </c>
      <c r="Q19" s="18" t="n">
        <v>51.52160761</v>
      </c>
      <c r="R19" s="20" t="n">
        <v>2.6633356</v>
      </c>
    </row>
    <row r="20" spans="1:18">
      <c r="A20" s="15" t="s">
        <v>362</v>
      </c>
      <c r="B20" s="17" t="n">
        <v>1630</v>
      </c>
      <c r="C20" s="18">
        <f>(1424.0/B20*100)</f>
        <v/>
      </c>
      <c r="D20" s="19" t="n">
        <v>206</v>
      </c>
      <c r="E20" s="18" t="n">
        <v>61.3375195</v>
      </c>
      <c r="F20" s="20" t="n">
        <v>3.17327515</v>
      </c>
      <c r="G20" s="18" t="n">
        <v>2.83446261</v>
      </c>
      <c r="H20" s="20" t="n">
        <v>1.09534353</v>
      </c>
      <c r="I20" s="18" t="s">
        <v>349</v>
      </c>
      <c r="J20" s="20" t="s">
        <v>349</v>
      </c>
      <c r="K20" s="18" t="n">
        <v>0.45962615</v>
      </c>
      <c r="L20" s="20" t="n">
        <v>0.46144935</v>
      </c>
      <c r="M20" s="18" t="n">
        <v>0.74846287</v>
      </c>
      <c r="N20" s="20" t="n">
        <v>0.54886971</v>
      </c>
      <c r="O20" s="18" t="n">
        <v>0</v>
      </c>
      <c r="P20" s="20" t="n">
        <v>0</v>
      </c>
      <c r="Q20" s="18" t="n">
        <v>34.61992887</v>
      </c>
      <c r="R20" s="20" t="n">
        <v>3.32248327</v>
      </c>
    </row>
    <row r="21" spans="1:18">
      <c r="A21" s="15" t="s">
        <v>363</v>
      </c>
      <c r="B21" s="17" t="n">
        <v>2908</v>
      </c>
      <c r="C21" s="18">
        <f>(2407.0/B21*100)</f>
        <v/>
      </c>
      <c r="D21" s="19" t="n">
        <v>501</v>
      </c>
      <c r="E21" s="18" t="n">
        <v>61.8238374</v>
      </c>
      <c r="F21" s="20" t="n">
        <v>1.91970757</v>
      </c>
      <c r="G21" s="18" t="n">
        <v>4.02452718</v>
      </c>
      <c r="H21" s="20" t="n">
        <v>0.9708222</v>
      </c>
      <c r="I21" s="18" t="s">
        <v>349</v>
      </c>
      <c r="J21" s="20" t="s">
        <v>349</v>
      </c>
      <c r="K21" s="18" t="n">
        <v>0.86104092</v>
      </c>
      <c r="L21" s="20" t="n">
        <v>0.43926277</v>
      </c>
      <c r="M21" s="18" t="n">
        <v>0</v>
      </c>
      <c r="N21" s="20" t="n">
        <v>0</v>
      </c>
      <c r="O21" s="18" t="n">
        <v>0</v>
      </c>
      <c r="P21" s="20" t="n">
        <v>0</v>
      </c>
      <c r="Q21" s="18" t="n">
        <v>33.29059451</v>
      </c>
      <c r="R21" s="20" t="n">
        <v>1.92889946</v>
      </c>
    </row>
    <row r="22" spans="1:18">
      <c r="A22" s="15" t="s">
        <v>364</v>
      </c>
      <c r="B22" s="17" t="n">
        <v>2931</v>
      </c>
      <c r="C22" s="18">
        <f>(2560.0/B22*100)</f>
        <v/>
      </c>
      <c r="D22" s="19" t="n">
        <v>371</v>
      </c>
      <c r="E22" s="18" t="n">
        <v>39.73370869</v>
      </c>
      <c r="F22" s="20" t="n">
        <v>3.2186517</v>
      </c>
      <c r="G22" s="18" t="n">
        <v>9.571923460000001</v>
      </c>
      <c r="H22" s="20" t="n">
        <v>2.21685473</v>
      </c>
      <c r="I22" s="18" t="s">
        <v>349</v>
      </c>
      <c r="J22" s="20" t="s">
        <v>349</v>
      </c>
      <c r="K22" s="18" t="n">
        <v>1.61954348</v>
      </c>
      <c r="L22" s="20" t="n">
        <v>0.85630419</v>
      </c>
      <c r="M22" s="18" t="n">
        <v>0</v>
      </c>
      <c r="N22" s="20" t="n">
        <v>0</v>
      </c>
      <c r="O22" s="18" t="n">
        <v>0</v>
      </c>
      <c r="P22" s="20" t="n">
        <v>0</v>
      </c>
      <c r="Q22" s="18" t="n">
        <v>49.07482437</v>
      </c>
      <c r="R22" s="20" t="n">
        <v>3.0891981</v>
      </c>
    </row>
    <row r="23" spans="1:18">
      <c r="A23" s="15" t="s">
        <v>365</v>
      </c>
      <c r="B23" s="17" t="n">
        <v>5791</v>
      </c>
      <c r="C23" s="18">
        <f>(5088.0/B23*100)</f>
        <v/>
      </c>
      <c r="D23" s="19" t="n">
        <v>703</v>
      </c>
      <c r="E23" s="18" t="n">
        <v>47.19802669</v>
      </c>
      <c r="F23" s="20" t="n">
        <v>2.03286991</v>
      </c>
      <c r="G23" s="18" t="n">
        <v>8.733676000000001</v>
      </c>
      <c r="H23" s="20" t="n">
        <v>1.33749427</v>
      </c>
      <c r="I23" s="18" t="s">
        <v>349</v>
      </c>
      <c r="J23" s="20" t="s">
        <v>349</v>
      </c>
      <c r="K23" s="18" t="n">
        <v>0.88466438</v>
      </c>
      <c r="L23" s="20" t="n">
        <v>0.43710152</v>
      </c>
      <c r="M23" s="18" t="n">
        <v>0.33766527</v>
      </c>
      <c r="N23" s="20" t="n">
        <v>0.36350734</v>
      </c>
      <c r="O23" s="18" t="n">
        <v>0</v>
      </c>
      <c r="P23" s="20" t="n">
        <v>0</v>
      </c>
      <c r="Q23" s="18" t="n">
        <v>42.84596765</v>
      </c>
      <c r="R23" s="20" t="n">
        <v>2.25845189</v>
      </c>
    </row>
    <row r="24" spans="1:18">
      <c r="A24" s="15" t="s">
        <v>366</v>
      </c>
      <c r="B24" s="17" t="n">
        <v>3338</v>
      </c>
      <c r="C24" s="18">
        <f>(2940.0/B24*100)</f>
        <v/>
      </c>
      <c r="D24" s="19" t="n">
        <v>398</v>
      </c>
      <c r="E24" s="18" t="n">
        <v>44.02650405</v>
      </c>
      <c r="F24" s="20" t="n">
        <v>2.37227568</v>
      </c>
      <c r="G24" s="18" t="n">
        <v>14.53681089</v>
      </c>
      <c r="H24" s="20" t="n">
        <v>1.87329781</v>
      </c>
      <c r="I24" s="18" t="s">
        <v>349</v>
      </c>
      <c r="J24" s="20" t="s">
        <v>349</v>
      </c>
      <c r="K24" s="18" t="n">
        <v>0.23187378</v>
      </c>
      <c r="L24" s="20" t="n">
        <v>0.23359843</v>
      </c>
      <c r="M24" s="18" t="n">
        <v>0</v>
      </c>
      <c r="N24" s="20" t="n">
        <v>0</v>
      </c>
      <c r="O24" s="18" t="n">
        <v>0</v>
      </c>
      <c r="P24" s="20" t="n">
        <v>0</v>
      </c>
      <c r="Q24" s="18" t="n">
        <v>41.20481128</v>
      </c>
      <c r="R24" s="20" t="n">
        <v>2.04138132</v>
      </c>
    </row>
    <row r="25" spans="1:18">
      <c r="A25" s="15" t="s">
        <v>367</v>
      </c>
      <c r="B25" s="17" t="n">
        <v>2912</v>
      </c>
      <c r="C25" s="18">
        <f>(2558.0/B25*100)</f>
        <v/>
      </c>
      <c r="D25" s="19" t="n">
        <v>354</v>
      </c>
      <c r="E25" s="18" t="n">
        <v>46.52674009</v>
      </c>
      <c r="F25" s="20" t="n">
        <v>2.87920956</v>
      </c>
      <c r="G25" s="18" t="n">
        <v>19.55541834</v>
      </c>
      <c r="H25" s="20" t="n">
        <v>2.47530836</v>
      </c>
      <c r="I25" s="18" t="s">
        <v>349</v>
      </c>
      <c r="J25" s="20" t="s">
        <v>349</v>
      </c>
      <c r="K25" s="18" t="n">
        <v>0.58845731</v>
      </c>
      <c r="L25" s="20" t="n">
        <v>0.42113335</v>
      </c>
      <c r="M25" s="18" t="n">
        <v>0</v>
      </c>
      <c r="N25" s="20" t="n">
        <v>0</v>
      </c>
      <c r="O25" s="18" t="n">
        <v>0</v>
      </c>
      <c r="P25" s="20" t="n">
        <v>0</v>
      </c>
      <c r="Q25" s="18" t="n">
        <v>33.32938426</v>
      </c>
      <c r="R25" s="20" t="n">
        <v>2.66147439</v>
      </c>
    </row>
    <row r="26" spans="1:18">
      <c r="A26" s="15" t="s">
        <v>368</v>
      </c>
      <c r="B26" s="17" t="n">
        <v>2450</v>
      </c>
      <c r="C26" s="18">
        <f>(2151.0/B26*100)</f>
        <v/>
      </c>
      <c r="D26" s="19" t="n">
        <v>299</v>
      </c>
      <c r="E26" s="18" t="n">
        <v>52.76314942</v>
      </c>
      <c r="F26" s="20" t="n">
        <v>2.96025703</v>
      </c>
      <c r="G26" s="18" t="n">
        <v>5.89699146</v>
      </c>
      <c r="H26" s="20" t="n">
        <v>1.39868974</v>
      </c>
      <c r="I26" s="18" t="s">
        <v>349</v>
      </c>
      <c r="J26" s="20" t="s">
        <v>349</v>
      </c>
      <c r="K26" s="18" t="n">
        <v>0</v>
      </c>
      <c r="L26" s="20" t="n">
        <v>0</v>
      </c>
      <c r="M26" s="18" t="n">
        <v>0.72428582</v>
      </c>
      <c r="N26" s="20" t="n">
        <v>0.56756068</v>
      </c>
      <c r="O26" s="18" t="n">
        <v>0</v>
      </c>
      <c r="P26" s="20" t="n">
        <v>0</v>
      </c>
      <c r="Q26" s="18" t="n">
        <v>40.6155733</v>
      </c>
      <c r="R26" s="20" t="n">
        <v>2.64051459</v>
      </c>
    </row>
    <row r="27" spans="1:18">
      <c r="A27" s="15" t="s">
        <v>369</v>
      </c>
      <c r="B27" s="17" t="n">
        <v>2616</v>
      </c>
      <c r="C27" s="18">
        <f>(2297.0/B27*100)</f>
        <v/>
      </c>
      <c r="D27" s="19" t="n">
        <v>319</v>
      </c>
      <c r="E27" s="18" t="n">
        <v>52.90206452</v>
      </c>
      <c r="F27" s="20" t="n">
        <v>2.55176762</v>
      </c>
      <c r="G27" s="18" t="n">
        <v>5.20299686</v>
      </c>
      <c r="H27" s="20" t="n">
        <v>1.1925518</v>
      </c>
      <c r="I27" s="18" t="s">
        <v>349</v>
      </c>
      <c r="J27" s="20" t="s">
        <v>349</v>
      </c>
      <c r="K27" s="18" t="n">
        <v>0.64354776</v>
      </c>
      <c r="L27" s="20" t="n">
        <v>0.45214002</v>
      </c>
      <c r="M27" s="18" t="n">
        <v>0</v>
      </c>
      <c r="N27" s="20" t="n">
        <v>0</v>
      </c>
      <c r="O27" s="18" t="n">
        <v>0</v>
      </c>
      <c r="P27" s="20" t="n">
        <v>0</v>
      </c>
      <c r="Q27" s="18" t="n">
        <v>41.25139085</v>
      </c>
      <c r="R27" s="20" t="n">
        <v>2.68148805</v>
      </c>
    </row>
    <row r="28" spans="1:18">
      <c r="A28" s="15" t="s">
        <v>370</v>
      </c>
      <c r="B28" s="17" t="n">
        <v>3765</v>
      </c>
      <c r="C28" s="18">
        <f>(3286.0/B28*100)</f>
        <v/>
      </c>
      <c r="D28" s="19" t="n">
        <v>479</v>
      </c>
      <c r="E28" s="18" t="n">
        <v>71.43564841</v>
      </c>
      <c r="F28" s="20" t="n">
        <v>1.84992016</v>
      </c>
      <c r="G28" s="18" t="n">
        <v>0.68461499</v>
      </c>
      <c r="H28" s="20" t="n">
        <v>0.35170323</v>
      </c>
      <c r="I28" s="18" t="s">
        <v>349</v>
      </c>
      <c r="J28" s="20" t="s">
        <v>349</v>
      </c>
      <c r="K28" s="18" t="n">
        <v>0.6372570400000001</v>
      </c>
      <c r="L28" s="20" t="n">
        <v>0.42091684</v>
      </c>
      <c r="M28" s="18" t="n">
        <v>0</v>
      </c>
      <c r="N28" s="20" t="n">
        <v>0</v>
      </c>
      <c r="O28" s="18" t="n">
        <v>0</v>
      </c>
      <c r="P28" s="20" t="n">
        <v>0</v>
      </c>
      <c r="Q28" s="18" t="n">
        <v>27.24247956</v>
      </c>
      <c r="R28" s="20" t="n">
        <v>1.82182641</v>
      </c>
    </row>
    <row r="29" spans="1:18">
      <c r="A29" s="15" t="s">
        <v>371</v>
      </c>
      <c r="B29" s="17" t="n">
        <v>2685</v>
      </c>
      <c r="C29" s="18">
        <f>(2406.0/B29*100)</f>
        <v/>
      </c>
      <c r="D29" s="19" t="n">
        <v>279</v>
      </c>
      <c r="E29" s="18" t="n">
        <v>72.79466493</v>
      </c>
      <c r="F29" s="20" t="n">
        <v>3.08602365</v>
      </c>
      <c r="G29" s="18" t="n">
        <v>5.85639766</v>
      </c>
      <c r="H29" s="20" t="n">
        <v>1.4034585</v>
      </c>
      <c r="I29" s="18" t="s">
        <v>349</v>
      </c>
      <c r="J29" s="20" t="s">
        <v>349</v>
      </c>
      <c r="K29" s="18" t="n">
        <v>0.37151143</v>
      </c>
      <c r="L29" s="20" t="n">
        <v>0.38269947</v>
      </c>
      <c r="M29" s="18" t="n">
        <v>0</v>
      </c>
      <c r="N29" s="20" t="n">
        <v>0</v>
      </c>
      <c r="O29" s="18" t="n">
        <v>0</v>
      </c>
      <c r="P29" s="20" t="n">
        <v>0</v>
      </c>
      <c r="Q29" s="18" t="n">
        <v>20.97742598</v>
      </c>
      <c r="R29" s="20" t="n">
        <v>2.75693832</v>
      </c>
    </row>
    <row r="30" spans="1:18">
      <c r="A30" s="15" t="s">
        <v>372</v>
      </c>
      <c r="B30" s="17" t="n">
        <v>2263</v>
      </c>
      <c r="C30" s="18">
        <f>(1994.0/B30*100)</f>
        <v/>
      </c>
      <c r="D30" s="19" t="n">
        <v>269</v>
      </c>
      <c r="E30" s="18" t="n">
        <v>53.81754621</v>
      </c>
      <c r="F30" s="20" t="n">
        <v>2.82798583</v>
      </c>
      <c r="G30" s="18" t="n">
        <v>9.762682</v>
      </c>
      <c r="H30" s="20" t="n">
        <v>1.89090222</v>
      </c>
      <c r="I30" s="18" t="s">
        <v>349</v>
      </c>
      <c r="J30" s="20" t="s">
        <v>349</v>
      </c>
      <c r="K30" s="18" t="n">
        <v>0.33164685</v>
      </c>
      <c r="L30" s="20" t="n">
        <v>0.33665168</v>
      </c>
      <c r="M30" s="18" t="n">
        <v>0</v>
      </c>
      <c r="N30" s="20" t="n">
        <v>0</v>
      </c>
      <c r="O30" s="18" t="n">
        <v>0</v>
      </c>
      <c r="P30" s="20" t="n">
        <v>0</v>
      </c>
      <c r="Q30" s="18" t="n">
        <v>36.08812494</v>
      </c>
      <c r="R30" s="20" t="n">
        <v>2.76612821</v>
      </c>
    </row>
    <row r="31" spans="1:18">
      <c r="A31" s="15" t="s">
        <v>373</v>
      </c>
      <c r="B31" s="17" t="n">
        <v>2750</v>
      </c>
      <c r="C31" s="18">
        <f>(2420.0/B31*100)</f>
        <v/>
      </c>
      <c r="D31" s="19" t="n">
        <v>330</v>
      </c>
      <c r="E31" s="18" t="n">
        <v>61.92864744</v>
      </c>
      <c r="F31" s="20" t="n">
        <v>2.95495835</v>
      </c>
      <c r="G31" s="18" t="n">
        <v>3.14173205</v>
      </c>
      <c r="H31" s="20" t="n">
        <v>0.92996724</v>
      </c>
      <c r="I31" s="18" t="s">
        <v>349</v>
      </c>
      <c r="J31" s="20" t="s">
        <v>349</v>
      </c>
      <c r="K31" s="18" t="n">
        <v>0.6383499500000001</v>
      </c>
      <c r="L31" s="20" t="n">
        <v>0.44394086</v>
      </c>
      <c r="M31" s="18" t="n">
        <v>0</v>
      </c>
      <c r="N31" s="20" t="n">
        <v>0</v>
      </c>
      <c r="O31" s="18" t="n">
        <v>0</v>
      </c>
      <c r="P31" s="20" t="n">
        <v>0</v>
      </c>
      <c r="Q31" s="18" t="n">
        <v>34.29127056</v>
      </c>
      <c r="R31" s="20" t="n">
        <v>2.71480374</v>
      </c>
    </row>
    <row r="32" spans="1:18">
      <c r="A32" s="15" t="s">
        <v>374</v>
      </c>
      <c r="B32" s="17" t="n">
        <v>2269</v>
      </c>
      <c r="C32" s="18">
        <f>(1853.0/B32*100)</f>
        <v/>
      </c>
      <c r="D32" s="19" t="n">
        <v>416</v>
      </c>
      <c r="E32" s="18" t="n">
        <v>50.08557397</v>
      </c>
      <c r="F32" s="20" t="n">
        <v>2.59898605</v>
      </c>
      <c r="G32" s="18" t="n">
        <v>7.26498008</v>
      </c>
      <c r="H32" s="20" t="n">
        <v>1.35393697</v>
      </c>
      <c r="I32" s="18" t="s">
        <v>349</v>
      </c>
      <c r="J32" s="20" t="s">
        <v>349</v>
      </c>
      <c r="K32" s="18" t="n">
        <v>0</v>
      </c>
      <c r="L32" s="20" t="n">
        <v>0</v>
      </c>
      <c r="M32" s="18" t="n">
        <v>0</v>
      </c>
      <c r="N32" s="20" t="n">
        <v>0</v>
      </c>
      <c r="O32" s="18" t="n">
        <v>0</v>
      </c>
      <c r="P32" s="20" t="n">
        <v>0</v>
      </c>
      <c r="Q32" s="18" t="n">
        <v>42.64944596</v>
      </c>
      <c r="R32" s="20" t="n">
        <v>2.78966591</v>
      </c>
    </row>
    <row r="33" spans="1:18">
      <c r="A33" s="15" t="s">
        <v>375</v>
      </c>
      <c r="B33" s="17" t="n">
        <v>3674</v>
      </c>
      <c r="C33" s="18">
        <f>(3240.0/B33*100)</f>
        <v/>
      </c>
      <c r="D33" s="19" t="n">
        <v>434</v>
      </c>
      <c r="E33" s="18" t="n">
        <v>47.09964489</v>
      </c>
      <c r="F33" s="20" t="n">
        <v>2.82294939</v>
      </c>
      <c r="G33" s="18" t="n">
        <v>7.05223415</v>
      </c>
      <c r="H33" s="20" t="n">
        <v>1.43911773</v>
      </c>
      <c r="I33" s="18" t="s">
        <v>349</v>
      </c>
      <c r="J33" s="20" t="s">
        <v>349</v>
      </c>
      <c r="K33" s="18" t="n">
        <v>0.68614872</v>
      </c>
      <c r="L33" s="20" t="n">
        <v>0.79485135</v>
      </c>
      <c r="M33" s="18" t="n">
        <v>0</v>
      </c>
      <c r="N33" s="20" t="n">
        <v>0</v>
      </c>
      <c r="O33" s="18" t="n">
        <v>0</v>
      </c>
      <c r="P33" s="20" t="n">
        <v>0</v>
      </c>
      <c r="Q33" s="18" t="n">
        <v>45.16197223</v>
      </c>
      <c r="R33" s="20" t="n">
        <v>2.59659379</v>
      </c>
    </row>
    <row r="34" spans="1:18">
      <c r="A34" s="15" t="s">
        <v>376</v>
      </c>
      <c r="B34" s="17" t="n">
        <v>3315</v>
      </c>
      <c r="C34" s="18">
        <f>(2912.0/B34*100)</f>
        <v/>
      </c>
      <c r="D34" s="19" t="n">
        <v>403</v>
      </c>
      <c r="E34" s="18" t="n">
        <v>54.12274365</v>
      </c>
      <c r="F34" s="20" t="n">
        <v>2.70579176</v>
      </c>
      <c r="G34" s="18" t="n">
        <v>4.6614351</v>
      </c>
      <c r="H34" s="20" t="n">
        <v>1.25314183</v>
      </c>
      <c r="I34" s="18" t="s">
        <v>349</v>
      </c>
      <c r="J34" s="20" t="s">
        <v>349</v>
      </c>
      <c r="K34" s="18" t="n">
        <v>0.20166716</v>
      </c>
      <c r="L34" s="20" t="n">
        <v>0.20106571</v>
      </c>
      <c r="M34" s="18" t="n">
        <v>0</v>
      </c>
      <c r="N34" s="20" t="n">
        <v>0</v>
      </c>
      <c r="O34" s="18" t="n">
        <v>0</v>
      </c>
      <c r="P34" s="20" t="n">
        <v>0</v>
      </c>
      <c r="Q34" s="18" t="n">
        <v>41.01415409</v>
      </c>
      <c r="R34" s="20" t="n">
        <v>2.74236128</v>
      </c>
    </row>
    <row r="35" spans="1:18">
      <c r="A35" s="15" t="s">
        <v>377</v>
      </c>
      <c r="B35" s="17" t="n">
        <v>3505</v>
      </c>
      <c r="C35" s="18">
        <f>(3090.0/B35*100)</f>
        <v/>
      </c>
      <c r="D35" s="19" t="n">
        <v>415</v>
      </c>
      <c r="E35" s="18" t="n">
        <v>45.63351057</v>
      </c>
      <c r="F35" s="20" t="n">
        <v>3.05769315</v>
      </c>
      <c r="G35" s="18" t="n">
        <v>11.60624467</v>
      </c>
      <c r="H35" s="20" t="n">
        <v>2.26277685</v>
      </c>
      <c r="I35" s="18" t="s">
        <v>349</v>
      </c>
      <c r="J35" s="20" t="s">
        <v>349</v>
      </c>
      <c r="K35" s="18" t="n">
        <v>0.37127786</v>
      </c>
      <c r="L35" s="20" t="n">
        <v>0.22055194</v>
      </c>
      <c r="M35" s="18" t="n">
        <v>0.43190154</v>
      </c>
      <c r="N35" s="20" t="n">
        <v>0.43486659</v>
      </c>
      <c r="O35" s="18" t="n">
        <v>0</v>
      </c>
      <c r="P35" s="20" t="n">
        <v>0</v>
      </c>
      <c r="Q35" s="18" t="n">
        <v>41.95706536</v>
      </c>
      <c r="R35" s="20" t="n">
        <v>2.99880742</v>
      </c>
    </row>
    <row r="36" spans="1:18">
      <c r="A36" s="15" t="s">
        <v>378</v>
      </c>
      <c r="B36" s="17" t="n">
        <v>3332</v>
      </c>
      <c r="C36" s="18">
        <f>(2926.0/B36*100)</f>
        <v/>
      </c>
      <c r="D36" s="19" t="n">
        <v>406</v>
      </c>
      <c r="E36" s="18" t="n">
        <v>47.36440465</v>
      </c>
      <c r="F36" s="20" t="n">
        <v>2.45264521</v>
      </c>
      <c r="G36" s="18" t="n">
        <v>4.19722263</v>
      </c>
      <c r="H36" s="20" t="n">
        <v>0.78799991</v>
      </c>
      <c r="I36" s="18" t="s">
        <v>349</v>
      </c>
      <c r="J36" s="20" t="s">
        <v>349</v>
      </c>
      <c r="K36" s="18" t="n">
        <v>0.49899679</v>
      </c>
      <c r="L36" s="20" t="n">
        <v>0.38218919</v>
      </c>
      <c r="M36" s="18" t="n">
        <v>0</v>
      </c>
      <c r="N36" s="20" t="n">
        <v>0</v>
      </c>
      <c r="O36" s="18" t="n">
        <v>0</v>
      </c>
      <c r="P36" s="20" t="n">
        <v>0</v>
      </c>
      <c r="Q36" s="18" t="n">
        <v>47.93937593</v>
      </c>
      <c r="R36" s="20" t="n">
        <v>2.48910926</v>
      </c>
    </row>
    <row r="37" spans="1:18">
      <c r="A37" s="15" t="s">
        <v>379</v>
      </c>
      <c r="B37" s="17" t="n">
        <v>2727</v>
      </c>
      <c r="C37" s="18">
        <f>(2393.0/B37*100)</f>
        <v/>
      </c>
      <c r="D37" s="19" t="n">
        <v>334</v>
      </c>
      <c r="E37" s="18" t="n">
        <v>58.73718087</v>
      </c>
      <c r="F37" s="20" t="n">
        <v>2.69338583</v>
      </c>
      <c r="G37" s="18" t="n">
        <v>4.76532221</v>
      </c>
      <c r="H37" s="20" t="n">
        <v>1.06134346</v>
      </c>
      <c r="I37" s="18" t="s">
        <v>349</v>
      </c>
      <c r="J37" s="20" t="s">
        <v>349</v>
      </c>
      <c r="K37" s="18" t="n">
        <v>0.84766463</v>
      </c>
      <c r="L37" s="20" t="n">
        <v>0.5512605699999999</v>
      </c>
      <c r="M37" s="18" t="n">
        <v>0</v>
      </c>
      <c r="N37" s="20" t="n">
        <v>0</v>
      </c>
      <c r="O37" s="18" t="n">
        <v>0</v>
      </c>
      <c r="P37" s="20" t="n">
        <v>0</v>
      </c>
      <c r="Q37" s="18" t="n">
        <v>35.64983228</v>
      </c>
      <c r="R37" s="20" t="n">
        <v>2.5901849</v>
      </c>
    </row>
    <row r="38" spans="1:18">
      <c r="A38" s="15" t="s">
        <v>380</v>
      </c>
      <c r="B38" s="17" t="n">
        <v>3053</v>
      </c>
      <c r="C38" s="18">
        <f>(2521.0/B38*100)</f>
        <v/>
      </c>
      <c r="D38" s="19" t="n">
        <v>532</v>
      </c>
      <c r="E38" s="18" t="n">
        <v>49.65198239</v>
      </c>
      <c r="F38" s="20" t="n">
        <v>2.60318872</v>
      </c>
      <c r="G38" s="18" t="n">
        <v>9.625081010000001</v>
      </c>
      <c r="H38" s="20" t="n">
        <v>1.33766578</v>
      </c>
      <c r="I38" s="18" t="s">
        <v>349</v>
      </c>
      <c r="J38" s="20" t="s">
        <v>349</v>
      </c>
      <c r="K38" s="18" t="n">
        <v>0.96336745</v>
      </c>
      <c r="L38" s="20" t="n">
        <v>0.52806444</v>
      </c>
      <c r="M38" s="18" t="n">
        <v>0</v>
      </c>
      <c r="N38" s="20" t="n">
        <v>0</v>
      </c>
      <c r="O38" s="18" t="n">
        <v>0</v>
      </c>
      <c r="P38" s="20" t="n">
        <v>0</v>
      </c>
      <c r="Q38" s="18" t="n">
        <v>39.75956915</v>
      </c>
      <c r="R38" s="20" t="n">
        <v>2.52342215</v>
      </c>
    </row>
    <row r="39" spans="1:18">
      <c r="A39" s="15" t="s">
        <v>381</v>
      </c>
      <c r="B39" s="17" t="n">
        <v>2957</v>
      </c>
      <c r="C39" s="18">
        <f>(2615.0/B39*100)</f>
        <v/>
      </c>
      <c r="D39" s="19" t="n">
        <v>342</v>
      </c>
      <c r="E39" s="18" t="n">
        <v>55.31645903</v>
      </c>
      <c r="F39" s="20" t="n">
        <v>3.49813116</v>
      </c>
      <c r="G39" s="18" t="n">
        <v>2.27074535</v>
      </c>
      <c r="H39" s="20" t="n">
        <v>1.00406665</v>
      </c>
      <c r="I39" s="18" t="s">
        <v>349</v>
      </c>
      <c r="J39" s="20" t="s">
        <v>349</v>
      </c>
      <c r="K39" s="18" t="n">
        <v>0</v>
      </c>
      <c r="L39" s="20" t="n">
        <v>0</v>
      </c>
      <c r="M39" s="18" t="n">
        <v>0</v>
      </c>
      <c r="N39" s="20" t="n">
        <v>0</v>
      </c>
      <c r="O39" s="18" t="n">
        <v>0</v>
      </c>
      <c r="P39" s="20" t="n">
        <v>0</v>
      </c>
      <c r="Q39" s="18" t="n">
        <v>42.41279561</v>
      </c>
      <c r="R39" s="20" t="n">
        <v>3.60159885</v>
      </c>
    </row>
    <row r="40" spans="1:18">
      <c r="A40" s="15" t="s">
        <v>382</v>
      </c>
      <c r="B40" s="17" t="n">
        <v>7235</v>
      </c>
      <c r="C40" s="18">
        <f>(6350.0/B40*100)</f>
        <v/>
      </c>
      <c r="D40" s="19" t="n">
        <v>885</v>
      </c>
      <c r="E40" s="18" t="n">
        <v>59.66495261</v>
      </c>
      <c r="F40" s="20" t="n">
        <v>2.72720702</v>
      </c>
      <c r="G40" s="18" t="n">
        <v>4.81430272</v>
      </c>
      <c r="H40" s="20" t="n">
        <v>1.243388</v>
      </c>
      <c r="I40" s="18" t="s">
        <v>349</v>
      </c>
      <c r="J40" s="20" t="s">
        <v>349</v>
      </c>
      <c r="K40" s="18" t="n">
        <v>0</v>
      </c>
      <c r="L40" s="20" t="n">
        <v>0</v>
      </c>
      <c r="M40" s="18" t="n">
        <v>0.17371473</v>
      </c>
      <c r="N40" s="20" t="n">
        <v>0.1655285</v>
      </c>
      <c r="O40" s="18" t="n">
        <v>0</v>
      </c>
      <c r="P40" s="20" t="n">
        <v>0</v>
      </c>
      <c r="Q40" s="18" t="n">
        <v>35.34702994</v>
      </c>
      <c r="R40" s="20" t="n">
        <v>2.44175773</v>
      </c>
    </row>
    <row r="41" spans="1:18">
      <c r="A41" s="15" t="s">
        <v>383</v>
      </c>
      <c r="B41" s="17" t="n">
        <v>2858</v>
      </c>
      <c r="C41" s="18">
        <f>(2512.0/B41*100)</f>
        <v/>
      </c>
      <c r="D41" s="19" t="n">
        <v>346</v>
      </c>
      <c r="E41" s="18" t="n">
        <v>76.01734795</v>
      </c>
      <c r="F41" s="20" t="n">
        <v>2.05516241</v>
      </c>
      <c r="G41" s="18" t="n">
        <v>5.64869787</v>
      </c>
      <c r="H41" s="20" t="n">
        <v>1.17515225</v>
      </c>
      <c r="I41" s="18" t="s">
        <v>349</v>
      </c>
      <c r="J41" s="20" t="s">
        <v>349</v>
      </c>
      <c r="K41" s="18" t="n">
        <v>0</v>
      </c>
      <c r="L41" s="20" t="n">
        <v>0</v>
      </c>
      <c r="M41" s="18" t="n">
        <v>0</v>
      </c>
      <c r="N41" s="20" t="n">
        <v>0</v>
      </c>
      <c r="O41" s="18" t="n">
        <v>0</v>
      </c>
      <c r="P41" s="20" t="n">
        <v>0</v>
      </c>
      <c r="Q41" s="18" t="n">
        <v>18.33395418</v>
      </c>
      <c r="R41" s="20" t="n">
        <v>2.02115211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(9831.0/B46*100)</f>
        <v/>
      </c>
      <c r="D46" s="19" t="n">
        <v>1237</v>
      </c>
      <c r="E46" s="18" t="n">
        <v>53.36187645</v>
      </c>
      <c r="F46" s="20" t="n">
        <v>1.84007781</v>
      </c>
      <c r="G46" s="18" t="n">
        <v>0.64929766</v>
      </c>
      <c r="H46" s="20" t="n">
        <v>0.22698048</v>
      </c>
      <c r="I46" s="18" t="s">
        <v>349</v>
      </c>
      <c r="J46" s="20" t="s">
        <v>349</v>
      </c>
      <c r="K46" s="18" t="n">
        <v>1.46278234</v>
      </c>
      <c r="L46" s="20" t="n">
        <v>0.39408026</v>
      </c>
      <c r="M46" s="18" t="n">
        <v>0.1554196</v>
      </c>
      <c r="N46" s="20" t="n">
        <v>0.14967071</v>
      </c>
      <c r="O46" s="18" t="n">
        <v>0</v>
      </c>
      <c r="P46" s="20" t="n">
        <v>0</v>
      </c>
      <c r="Q46" s="18" t="n">
        <v>44.37062395</v>
      </c>
      <c r="R46" s="20" t="n">
        <v>1.88494807</v>
      </c>
    </row>
    <row r="47" spans="1:18">
      <c r="A47" s="15" t="s">
        <v>389</v>
      </c>
      <c r="B47" s="17" t="n">
        <v>3105</v>
      </c>
      <c r="C47" s="18">
        <f>(2715.0/B47*100)</f>
        <v/>
      </c>
      <c r="D47" s="19" t="n">
        <v>390</v>
      </c>
      <c r="E47" s="18" t="n">
        <v>40.73165099</v>
      </c>
      <c r="F47" s="20" t="n">
        <v>2.89805642</v>
      </c>
      <c r="G47" s="18" t="n">
        <v>6.53956483</v>
      </c>
      <c r="H47" s="20" t="n">
        <v>1.42434308</v>
      </c>
      <c r="I47" s="18" t="s">
        <v>349</v>
      </c>
      <c r="J47" s="20" t="s">
        <v>349</v>
      </c>
      <c r="K47" s="18" t="n">
        <v>0.5059630899999999</v>
      </c>
      <c r="L47" s="20" t="n">
        <v>0.38500394</v>
      </c>
      <c r="M47" s="18" t="n">
        <v>0</v>
      </c>
      <c r="N47" s="20" t="n">
        <v>0</v>
      </c>
      <c r="O47" s="18" t="n">
        <v>0</v>
      </c>
      <c r="P47" s="20" t="n">
        <v>0</v>
      </c>
      <c r="Q47" s="18" t="n">
        <v>52.22282109</v>
      </c>
      <c r="R47" s="20" t="n">
        <v>2.76137102</v>
      </c>
    </row>
    <row r="48" spans="1:18">
      <c r="A48" s="15" t="s">
        <v>390</v>
      </c>
      <c r="B48" s="17" t="n">
        <v>5159</v>
      </c>
      <c r="C48" s="18">
        <f>(4547.0/B48*100)</f>
        <v/>
      </c>
      <c r="D48" s="19" t="n">
        <v>612</v>
      </c>
      <c r="E48" s="18" t="n">
        <v>54.14832947</v>
      </c>
      <c r="F48" s="20" t="n">
        <v>3.32356988</v>
      </c>
      <c r="G48" s="18" t="n">
        <v>28.25943456</v>
      </c>
      <c r="H48" s="20" t="n">
        <v>3.49950449</v>
      </c>
      <c r="I48" s="18" t="s">
        <v>349</v>
      </c>
      <c r="J48" s="20" t="s">
        <v>349</v>
      </c>
      <c r="K48" s="18" t="n">
        <v>0.83887491</v>
      </c>
      <c r="L48" s="20" t="n">
        <v>0.61641934</v>
      </c>
      <c r="M48" s="18" t="n">
        <v>0.22390368</v>
      </c>
      <c r="N48" s="20" t="n">
        <v>0.15673624</v>
      </c>
      <c r="O48" s="18" t="n">
        <v>0</v>
      </c>
      <c r="P48" s="20" t="n">
        <v>0</v>
      </c>
      <c r="Q48" s="18" t="n">
        <v>16.52945738</v>
      </c>
      <c r="R48" s="20" t="n">
        <v>2.36321538</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(4946.0/B50*100)</f>
        <v/>
      </c>
      <c r="D50" s="19" t="n">
        <v>691</v>
      </c>
      <c r="E50" s="18" t="n">
        <v>64.57151904</v>
      </c>
      <c r="F50" s="20" t="n">
        <v>2.38401039</v>
      </c>
      <c r="G50" s="18" t="n">
        <v>0.26851197</v>
      </c>
      <c r="H50" s="20" t="n">
        <v>0.12436472</v>
      </c>
      <c r="I50" s="18" t="s">
        <v>349</v>
      </c>
      <c r="J50" s="20" t="s">
        <v>349</v>
      </c>
      <c r="K50" s="18" t="n">
        <v>1.94876726</v>
      </c>
      <c r="L50" s="20" t="n">
        <v>1.02403208</v>
      </c>
      <c r="M50" s="18" t="n">
        <v>0.33864579</v>
      </c>
      <c r="N50" s="20" t="n">
        <v>0.24050582</v>
      </c>
      <c r="O50" s="18" t="n">
        <v>0</v>
      </c>
      <c r="P50" s="20" t="n">
        <v>0</v>
      </c>
      <c r="Q50" s="18" t="n">
        <v>32.87255594</v>
      </c>
      <c r="R50" s="20" t="n">
        <v>2.27975094</v>
      </c>
    </row>
    <row r="51" spans="1:18">
      <c r="A51" s="15" t="s">
        <v>393</v>
      </c>
      <c r="B51" s="17" t="n">
        <v>3372</v>
      </c>
      <c r="C51" s="18">
        <f>(2999.0/B51*100)</f>
        <v/>
      </c>
      <c r="D51" s="19" t="n">
        <v>373</v>
      </c>
      <c r="E51" s="18" t="n">
        <v>58.51485017</v>
      </c>
      <c r="F51" s="20" t="n">
        <v>2.63841212</v>
      </c>
      <c r="G51" s="18" t="n">
        <v>0.86560125</v>
      </c>
      <c r="H51" s="20" t="n">
        <v>0.51963729</v>
      </c>
      <c r="I51" s="18" t="s">
        <v>349</v>
      </c>
      <c r="J51" s="20" t="s">
        <v>349</v>
      </c>
      <c r="K51" s="18" t="n">
        <v>0.18169957</v>
      </c>
      <c r="L51" s="20" t="n">
        <v>0.14679194</v>
      </c>
      <c r="M51" s="18" t="n">
        <v>0</v>
      </c>
      <c r="N51" s="20" t="n">
        <v>0</v>
      </c>
      <c r="O51" s="18" t="n">
        <v>0</v>
      </c>
      <c r="P51" s="20" t="n">
        <v>0</v>
      </c>
      <c r="Q51" s="18" t="n">
        <v>40.43784901</v>
      </c>
      <c r="R51" s="20" t="n">
        <v>2.66938027</v>
      </c>
    </row>
    <row r="52" spans="1:18">
      <c r="A52" s="15" t="s">
        <v>394</v>
      </c>
      <c r="B52" s="17" t="n">
        <v>2796</v>
      </c>
      <c r="C52" s="18">
        <f>(2458.0/B52*100)</f>
        <v/>
      </c>
      <c r="D52" s="19" t="n">
        <v>338</v>
      </c>
      <c r="E52" s="18" t="n">
        <v>42.81052737</v>
      </c>
      <c r="F52" s="20" t="n">
        <v>2.8013264</v>
      </c>
      <c r="G52" s="18" t="n">
        <v>5.68067794</v>
      </c>
      <c r="H52" s="20" t="n">
        <v>1.41601362</v>
      </c>
      <c r="I52" s="18" t="s">
        <v>349</v>
      </c>
      <c r="J52" s="20" t="s">
        <v>349</v>
      </c>
      <c r="K52" s="18" t="n">
        <v>0.9302588899999999</v>
      </c>
      <c r="L52" s="20" t="n">
        <v>0.57001102</v>
      </c>
      <c r="M52" s="18" t="n">
        <v>0</v>
      </c>
      <c r="N52" s="20" t="n">
        <v>0</v>
      </c>
      <c r="O52" s="18" t="n">
        <v>0</v>
      </c>
      <c r="P52" s="20" t="n">
        <v>0</v>
      </c>
      <c r="Q52" s="18" t="n">
        <v>50.5785358</v>
      </c>
      <c r="R52" s="20" t="n">
        <v>2.72164249</v>
      </c>
    </row>
    <row r="53" spans="1:18">
      <c r="A53" s="15" t="s">
        <v>395</v>
      </c>
      <c r="B53" s="17" t="n">
        <v>2811</v>
      </c>
      <c r="C53" s="18">
        <f>(2469.0/B53*100)</f>
        <v/>
      </c>
      <c r="D53" s="19" t="n">
        <v>342</v>
      </c>
      <c r="E53" s="18" t="n">
        <v>53.38159712</v>
      </c>
      <c r="F53" s="20" t="n">
        <v>2.80834952</v>
      </c>
      <c r="G53" s="18" t="n">
        <v>1.88463451</v>
      </c>
      <c r="H53" s="20" t="n">
        <v>0.8919971799999999</v>
      </c>
      <c r="I53" s="18" t="s">
        <v>349</v>
      </c>
      <c r="J53" s="20" t="s">
        <v>349</v>
      </c>
      <c r="K53" s="18" t="n">
        <v>0.95257872</v>
      </c>
      <c r="L53" s="20" t="n">
        <v>0.57365127</v>
      </c>
      <c r="M53" s="18" t="n">
        <v>0</v>
      </c>
      <c r="N53" s="20" t="n">
        <v>0</v>
      </c>
      <c r="O53" s="18" t="n">
        <v>0</v>
      </c>
      <c r="P53" s="20" t="n">
        <v>0</v>
      </c>
      <c r="Q53" s="18" t="n">
        <v>43.78118965</v>
      </c>
      <c r="R53" s="20" t="n">
        <v>2.86403398</v>
      </c>
    </row>
    <row r="54" spans="1:18">
      <c r="A54" s="15" t="s">
        <v>396</v>
      </c>
      <c r="B54" s="17" t="n">
        <v>2266</v>
      </c>
      <c r="C54" s="18">
        <f>(1891.0/B54*100)</f>
        <v/>
      </c>
      <c r="D54" s="19" t="n">
        <v>375</v>
      </c>
      <c r="E54" s="18" t="n">
        <v>42.88623867</v>
      </c>
      <c r="F54" s="20" t="n">
        <v>2.75619535</v>
      </c>
      <c r="G54" s="18" t="n">
        <v>0.23327385</v>
      </c>
      <c r="H54" s="20" t="n">
        <v>0.23224402</v>
      </c>
      <c r="I54" s="18" t="s">
        <v>349</v>
      </c>
      <c r="J54" s="20" t="s">
        <v>349</v>
      </c>
      <c r="K54" s="18" t="n">
        <v>9.277811789999999</v>
      </c>
      <c r="L54" s="20" t="n">
        <v>1.93378351</v>
      </c>
      <c r="M54" s="18" t="n">
        <v>0.49540638</v>
      </c>
      <c r="N54" s="20" t="n">
        <v>0.49567598</v>
      </c>
      <c r="O54" s="18" t="n">
        <v>0</v>
      </c>
      <c r="P54" s="20" t="n">
        <v>0</v>
      </c>
      <c r="Q54" s="18" t="n">
        <v>47.10726931</v>
      </c>
      <c r="R54" s="20" t="n">
        <v>2.86029073</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(2349.0/B56*100)</f>
        <v/>
      </c>
      <c r="D56" s="19" t="n">
        <v>335</v>
      </c>
      <c r="E56" s="18" t="n">
        <v>49.14939301</v>
      </c>
      <c r="F56" s="20" t="n">
        <v>2.98274845</v>
      </c>
      <c r="G56" s="18" t="n">
        <v>21.6376252</v>
      </c>
      <c r="H56" s="20" t="n">
        <v>2.54748678</v>
      </c>
      <c r="I56" s="18" t="s">
        <v>349</v>
      </c>
      <c r="J56" s="20" t="s">
        <v>349</v>
      </c>
      <c r="K56" s="18" t="n">
        <v>0</v>
      </c>
      <c r="L56" s="20" t="n">
        <v>0</v>
      </c>
      <c r="M56" s="18" t="n">
        <v>0</v>
      </c>
      <c r="N56" s="20" t="n">
        <v>0</v>
      </c>
      <c r="O56" s="18" t="n">
        <v>0</v>
      </c>
      <c r="P56" s="20" t="n">
        <v>0</v>
      </c>
      <c r="Q56" s="18" t="n">
        <v>29.2129818</v>
      </c>
      <c r="R56" s="20" t="n">
        <v>2.7273096</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(2924.0/B61*100)</f>
        <v/>
      </c>
      <c r="D61" s="19" t="n">
        <v>400</v>
      </c>
      <c r="E61" s="18" t="n">
        <v>50.68551761</v>
      </c>
      <c r="F61" s="20" t="n">
        <v>3.11688027</v>
      </c>
      <c r="G61" s="18" t="n">
        <v>4.94689472</v>
      </c>
      <c r="H61" s="20" t="n">
        <v>1.26137995</v>
      </c>
      <c r="I61" s="18" t="s">
        <v>349</v>
      </c>
      <c r="J61" s="20" t="s">
        <v>349</v>
      </c>
      <c r="K61" s="18" t="n">
        <v>0.37684167</v>
      </c>
      <c r="L61" s="20" t="n">
        <v>0.31326856</v>
      </c>
      <c r="M61" s="18" t="n">
        <v>0</v>
      </c>
      <c r="N61" s="20" t="n">
        <v>0</v>
      </c>
      <c r="O61" s="18" t="n">
        <v>0</v>
      </c>
      <c r="P61" s="20" t="n">
        <v>0</v>
      </c>
      <c r="Q61" s="18" t="n">
        <v>43.990746</v>
      </c>
      <c r="R61" s="20" t="n">
        <v>3.02034572</v>
      </c>
    </row>
    <row r="62" spans="1:18">
      <c r="A62" s="15" t="s">
        <v>404</v>
      </c>
      <c r="B62" s="17" t="n">
        <v>2246</v>
      </c>
      <c r="C62" s="18">
        <f>(1958.0/B62*100)</f>
        <v/>
      </c>
      <c r="D62" s="19" t="n">
        <v>288</v>
      </c>
      <c r="E62" s="18" t="n">
        <v>65.97145105</v>
      </c>
      <c r="F62" s="20" t="n">
        <v>2.86225805</v>
      </c>
      <c r="G62" s="18" t="n">
        <v>20.48862405</v>
      </c>
      <c r="H62" s="20" t="n">
        <v>2.35663177</v>
      </c>
      <c r="I62" s="18" t="s">
        <v>349</v>
      </c>
      <c r="J62" s="20" t="s">
        <v>349</v>
      </c>
      <c r="K62" s="18" t="n">
        <v>0</v>
      </c>
      <c r="L62" s="20" t="n">
        <v>0</v>
      </c>
      <c r="M62" s="18" t="n">
        <v>0.34868252</v>
      </c>
      <c r="N62" s="20" t="n">
        <v>0.34873025</v>
      </c>
      <c r="O62" s="18" t="n">
        <v>0</v>
      </c>
      <c r="P62" s="20" t="n">
        <v>0</v>
      </c>
      <c r="Q62" s="18" t="n">
        <v>13.19124238</v>
      </c>
      <c r="R62" s="20" t="n">
        <v>1.95472931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(2539.0/B66*100)</f>
        <v/>
      </c>
      <c r="D66" s="19" t="n">
        <v>355</v>
      </c>
      <c r="E66" s="18" t="n">
        <v>37.94590243</v>
      </c>
      <c r="F66" s="20" t="n">
        <v>2.55383512</v>
      </c>
      <c r="G66" s="18" t="n">
        <v>2.9279709</v>
      </c>
      <c r="H66" s="20" t="n">
        <v>0.83916292</v>
      </c>
      <c r="I66" s="18" t="s">
        <v>349</v>
      </c>
      <c r="J66" s="20" t="s">
        <v>349</v>
      </c>
      <c r="K66" s="18" t="n">
        <v>0.82360318</v>
      </c>
      <c r="L66" s="20" t="n">
        <v>0.47490729</v>
      </c>
      <c r="M66" s="18" t="n">
        <v>0.51226386</v>
      </c>
      <c r="N66" s="20" t="n">
        <v>0.35898324</v>
      </c>
      <c r="O66" s="18" t="n">
        <v>0</v>
      </c>
      <c r="P66" s="20" t="n">
        <v>0</v>
      </c>
      <c r="Q66" s="18" t="n">
        <v>57.79025964</v>
      </c>
      <c r="R66" s="20" t="n">
        <v>2.38763374</v>
      </c>
    </row>
    <row r="67" spans="1:18">
      <c r="A67" s="15" t="s">
        <v>409</v>
      </c>
      <c r="B67" s="17" t="n">
        <v>3511</v>
      </c>
      <c r="C67" s="18">
        <f>(3117.0/B67*100)</f>
        <v/>
      </c>
      <c r="D67" s="19" t="n">
        <v>394</v>
      </c>
      <c r="E67" s="18" t="n">
        <v>56.510921</v>
      </c>
      <c r="F67" s="20" t="n">
        <v>2.40937754</v>
      </c>
      <c r="G67" s="18" t="n">
        <v>1.01704416</v>
      </c>
      <c r="H67" s="20" t="n">
        <v>0.56405244</v>
      </c>
      <c r="I67" s="18" t="s">
        <v>349</v>
      </c>
      <c r="J67" s="20" t="s">
        <v>349</v>
      </c>
      <c r="K67" s="18" t="n">
        <v>0</v>
      </c>
      <c r="L67" s="20" t="n">
        <v>0</v>
      </c>
      <c r="M67" s="18" t="n">
        <v>0</v>
      </c>
      <c r="N67" s="20" t="n">
        <v>0</v>
      </c>
      <c r="O67" s="18" t="n">
        <v>0</v>
      </c>
      <c r="P67" s="20" t="n">
        <v>0</v>
      </c>
      <c r="Q67" s="18" t="n">
        <v>42.47203485</v>
      </c>
      <c r="R67" s="20" t="n">
        <v>2.40858353</v>
      </c>
    </row>
    <row r="68" spans="1:18">
      <c r="A68" s="15" t="s">
        <v>410</v>
      </c>
      <c r="B68" s="17" t="n">
        <v>6049</v>
      </c>
      <c r="C68" s="18">
        <f>(5035.0/B68*100)</f>
        <v/>
      </c>
      <c r="D68" s="19" t="n">
        <v>1014</v>
      </c>
      <c r="E68" s="18" t="n">
        <v>61.66597785</v>
      </c>
      <c r="F68" s="20" t="n">
        <v>1.56512816</v>
      </c>
      <c r="G68" s="18" t="n">
        <v>1.42646628</v>
      </c>
      <c r="H68" s="20" t="n">
        <v>0.39083521</v>
      </c>
      <c r="I68" s="18" t="s">
        <v>349</v>
      </c>
      <c r="J68" s="20" t="s">
        <v>349</v>
      </c>
      <c r="K68" s="18" t="n">
        <v>2.33141989</v>
      </c>
      <c r="L68" s="20" t="n">
        <v>0.46928679</v>
      </c>
      <c r="M68" s="18" t="n">
        <v>0</v>
      </c>
      <c r="N68" s="20" t="n">
        <v>0</v>
      </c>
      <c r="O68" s="18" t="n">
        <v>0</v>
      </c>
      <c r="P68" s="20" t="n">
        <v>0</v>
      </c>
      <c r="Q68" s="18" t="n">
        <v>34.57613599</v>
      </c>
      <c r="R68" s="20" t="n">
        <v>1.48358735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(2578.0/B70*100)</f>
        <v/>
      </c>
      <c r="D70" s="19" t="n">
        <v>351</v>
      </c>
      <c r="E70" s="18" t="n">
        <v>52.78507903</v>
      </c>
      <c r="F70" s="20" t="n">
        <v>2.93396225</v>
      </c>
      <c r="G70" s="18" t="n">
        <v>9.59180907</v>
      </c>
      <c r="H70" s="20" t="n">
        <v>1.89284052</v>
      </c>
      <c r="I70" s="18" t="s">
        <v>349</v>
      </c>
      <c r="J70" s="20" t="s">
        <v>349</v>
      </c>
      <c r="K70" s="18" t="n">
        <v>0</v>
      </c>
      <c r="L70" s="20" t="n">
        <v>0</v>
      </c>
      <c r="M70" s="18" t="n">
        <v>1.14830775</v>
      </c>
      <c r="N70" s="20" t="n">
        <v>0.49741056</v>
      </c>
      <c r="O70" s="18" t="n">
        <v>0</v>
      </c>
      <c r="P70" s="20" t="n">
        <v>0</v>
      </c>
      <c r="Q70" s="18" t="n">
        <v>36.47480415</v>
      </c>
      <c r="R70" s="20" t="n">
        <v>2.99795828</v>
      </c>
    </row>
    <row r="71" spans="1:18">
      <c r="A71" s="15" t="s">
        <v>413</v>
      </c>
      <c r="B71" s="17" t="n">
        <v>3142</v>
      </c>
      <c r="C71" s="18">
        <f>(2755.0/B71*100)</f>
        <v/>
      </c>
      <c r="D71" s="19" t="n">
        <v>387</v>
      </c>
      <c r="E71" s="18" t="n">
        <v>60.1909019</v>
      </c>
      <c r="F71" s="20" t="n">
        <v>2.37903099</v>
      </c>
      <c r="G71" s="18" t="n">
        <v>22.8323563</v>
      </c>
      <c r="H71" s="20" t="n">
        <v>2.04889847</v>
      </c>
      <c r="I71" s="18" t="s">
        <v>349</v>
      </c>
      <c r="J71" s="20" t="s">
        <v>349</v>
      </c>
      <c r="K71" s="18" t="n">
        <v>0.5102401600000001</v>
      </c>
      <c r="L71" s="20" t="n">
        <v>0.34815741</v>
      </c>
      <c r="M71" s="18" t="n">
        <v>0</v>
      </c>
      <c r="N71" s="20" t="n">
        <v>0</v>
      </c>
      <c r="O71" s="18" t="n">
        <v>0</v>
      </c>
      <c r="P71" s="20" t="n">
        <v>0</v>
      </c>
      <c r="Q71" s="18" t="n">
        <v>16.46650164</v>
      </c>
      <c r="R71" s="20" t="n">
        <v>1.61797997</v>
      </c>
    </row>
    <row r="72" spans="1:18">
      <c r="A72" s="15" t="s">
        <v>414</v>
      </c>
      <c r="B72" s="17" t="n">
        <v>3889</v>
      </c>
      <c r="C72" s="18">
        <f>(3408.0/B72*100)</f>
        <v/>
      </c>
      <c r="D72" s="19" t="n">
        <v>481</v>
      </c>
      <c r="E72" s="18" t="n">
        <v>43.59076233</v>
      </c>
      <c r="F72" s="20" t="n">
        <v>2.24563129</v>
      </c>
      <c r="G72" s="18" t="n">
        <v>34.14850289</v>
      </c>
      <c r="H72" s="20" t="n">
        <v>2.62350059</v>
      </c>
      <c r="I72" s="18" t="s">
        <v>349</v>
      </c>
      <c r="J72" s="20" t="s">
        <v>349</v>
      </c>
      <c r="K72" s="18" t="n">
        <v>0.14151252</v>
      </c>
      <c r="L72" s="20" t="n">
        <v>0.1412392</v>
      </c>
      <c r="M72" s="18" t="n">
        <v>0</v>
      </c>
      <c r="N72" s="20" t="n">
        <v>0</v>
      </c>
      <c r="O72" s="18" t="n">
        <v>0</v>
      </c>
      <c r="P72" s="20" t="n">
        <v>0</v>
      </c>
      <c r="Q72" s="18" t="n">
        <v>22.11922225</v>
      </c>
      <c r="R72" s="20" t="n">
        <v>1.88762482</v>
      </c>
    </row>
    <row r="73" spans="1:18">
      <c r="A73" s="15" t="s">
        <v>415</v>
      </c>
      <c r="B73" s="17" t="n">
        <v>3597</v>
      </c>
      <c r="C73" s="18">
        <f>(3163.0/B73*100)</f>
        <v/>
      </c>
      <c r="D73" s="19" t="n">
        <v>434</v>
      </c>
      <c r="E73" s="18" t="n">
        <v>75.84049971</v>
      </c>
      <c r="F73" s="20" t="n">
        <v>2.64911196</v>
      </c>
      <c r="G73" s="18" t="n">
        <v>4.25499964</v>
      </c>
      <c r="H73" s="20" t="n">
        <v>1.59066171</v>
      </c>
      <c r="I73" s="18" t="s">
        <v>349</v>
      </c>
      <c r="J73" s="20" t="s">
        <v>349</v>
      </c>
      <c r="K73" s="18" t="n">
        <v>0</v>
      </c>
      <c r="L73" s="20" t="n">
        <v>0</v>
      </c>
      <c r="M73" s="18" t="n">
        <v>0.61672954</v>
      </c>
      <c r="N73" s="20" t="n">
        <v>0.56918969</v>
      </c>
      <c r="O73" s="18" t="n">
        <v>0</v>
      </c>
      <c r="P73" s="20" t="n">
        <v>0</v>
      </c>
      <c r="Q73" s="18" t="n">
        <v>19.28777111</v>
      </c>
      <c r="R73" s="20" t="n">
        <v>2.45778762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(2116.0/B75*100)</f>
        <v/>
      </c>
      <c r="D75" s="19" t="n">
        <v>290</v>
      </c>
      <c r="E75" s="18" t="n">
        <v>48.65069943</v>
      </c>
      <c r="F75" s="20" t="n">
        <v>3.74300868</v>
      </c>
      <c r="G75" s="18" t="n">
        <v>1.34609739</v>
      </c>
      <c r="H75" s="20" t="n">
        <v>0.6772344</v>
      </c>
      <c r="I75" s="18" t="s">
        <v>349</v>
      </c>
      <c r="J75" s="20" t="s">
        <v>349</v>
      </c>
      <c r="K75" s="18" t="n">
        <v>0.73612305</v>
      </c>
      <c r="L75" s="20" t="n">
        <v>0.48328097</v>
      </c>
      <c r="M75" s="18" t="n">
        <v>0.35747219</v>
      </c>
      <c r="N75" s="20" t="n">
        <v>0.39385741</v>
      </c>
      <c r="O75" s="18" t="n">
        <v>0</v>
      </c>
      <c r="P75" s="20" t="n">
        <v>0</v>
      </c>
      <c r="Q75" s="18" t="n">
        <v>48.90960793</v>
      </c>
      <c r="R75" s="20" t="n">
        <v>3.77508684</v>
      </c>
    </row>
    <row r="76" spans="1:18">
      <c r="A76" s="15" t="s">
        <v>418</v>
      </c>
      <c r="B76" s="17" t="n">
        <v>7052</v>
      </c>
      <c r="C76" s="18">
        <f>(6194.0/B76*100)</f>
        <v/>
      </c>
      <c r="D76" s="19" t="n">
        <v>858</v>
      </c>
      <c r="E76" s="18" t="n">
        <v>68.37865832999999</v>
      </c>
      <c r="F76" s="20" t="n">
        <v>2.09218175</v>
      </c>
      <c r="G76" s="18" t="n">
        <v>3.5886921</v>
      </c>
      <c r="H76" s="20" t="n">
        <v>0.92365999</v>
      </c>
      <c r="I76" s="18" t="s">
        <v>349</v>
      </c>
      <c r="J76" s="20" t="s">
        <v>349</v>
      </c>
      <c r="K76" s="18" t="n">
        <v>1.2309309</v>
      </c>
      <c r="L76" s="20" t="n">
        <v>0.40146289</v>
      </c>
      <c r="M76" s="18" t="n">
        <v>0.06116807</v>
      </c>
      <c r="N76" s="20" t="n">
        <v>0.06212286</v>
      </c>
      <c r="O76" s="18" t="n">
        <v>0</v>
      </c>
      <c r="P76" s="20" t="n">
        <v>0</v>
      </c>
      <c r="Q76" s="18" t="n">
        <v>26.7405506</v>
      </c>
      <c r="R76" s="20" t="n">
        <v>2.11256782</v>
      </c>
    </row>
    <row r="77" spans="1:18">
      <c r="A77" s="15" t="s">
        <v>419</v>
      </c>
      <c r="B77" s="17" t="n">
        <v>2908</v>
      </c>
      <c r="C77" s="18">
        <f>(2539.0/B77*100)</f>
        <v/>
      </c>
      <c r="D77" s="19" t="n">
        <v>369</v>
      </c>
      <c r="E77" s="18" t="n">
        <v>42.05208422</v>
      </c>
      <c r="F77" s="20" t="n">
        <v>2.52678831</v>
      </c>
      <c r="G77" s="18" t="n">
        <v>2.78708062</v>
      </c>
      <c r="H77" s="20" t="n">
        <v>0.7290228399999999</v>
      </c>
      <c r="I77" s="18" t="s">
        <v>349</v>
      </c>
      <c r="J77" s="20" t="s">
        <v>349</v>
      </c>
      <c r="K77" s="18" t="n">
        <v>2.51273802</v>
      </c>
      <c r="L77" s="20" t="n">
        <v>0.90010734</v>
      </c>
      <c r="M77" s="18" t="n">
        <v>1.33898312</v>
      </c>
      <c r="N77" s="20" t="n">
        <v>0.60008131</v>
      </c>
      <c r="O77" s="18" t="n">
        <v>0</v>
      </c>
      <c r="P77" s="20" t="n">
        <v>0</v>
      </c>
      <c r="Q77" s="18" t="n">
        <v>51.30911403</v>
      </c>
      <c r="R77" s="20" t="n">
        <v>2.14513094</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(3651.0/B81*100)</f>
        <v/>
      </c>
      <c r="D81" s="19" t="n">
        <v>512</v>
      </c>
      <c r="E81" s="18" t="n">
        <v>81.76786579</v>
      </c>
      <c r="F81" s="20" t="n">
        <v>2.1126644</v>
      </c>
      <c r="G81" s="18" t="n">
        <v>1.9934524</v>
      </c>
      <c r="H81" s="20" t="n">
        <v>0.73941942</v>
      </c>
      <c r="I81" s="18" t="s">
        <v>349</v>
      </c>
      <c r="J81" s="20" t="s">
        <v>349</v>
      </c>
      <c r="K81" s="18" t="n">
        <v>0.31158396</v>
      </c>
      <c r="L81" s="20" t="n">
        <v>0.2189063</v>
      </c>
      <c r="M81" s="18" t="n">
        <v>0</v>
      </c>
      <c r="N81" s="20" t="n">
        <v>0</v>
      </c>
      <c r="O81" s="18" t="n">
        <v>0</v>
      </c>
      <c r="P81" s="20" t="n">
        <v>0</v>
      </c>
      <c r="Q81" s="18" t="n">
        <v>15.92709785</v>
      </c>
      <c r="R81" s="20" t="n">
        <v>2.11757883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(6490.0/B7*100)</f>
        <v/>
      </c>
      <c r="D7" s="19" t="n">
        <v>877</v>
      </c>
      <c r="E7" s="18" t="n">
        <v>47.86601336</v>
      </c>
      <c r="F7" s="20" t="n">
        <v>2.05056219</v>
      </c>
      <c r="G7" s="18" t="n">
        <v>49.38887485</v>
      </c>
      <c r="H7" s="20" t="n">
        <v>1.98902253</v>
      </c>
      <c r="I7" s="18" t="s">
        <v>349</v>
      </c>
      <c r="J7" s="20" t="s">
        <v>349</v>
      </c>
      <c r="K7" s="18" t="n">
        <v>0.68894209</v>
      </c>
      <c r="L7" s="20" t="n">
        <v>0.31603028</v>
      </c>
      <c r="M7" s="18" t="n">
        <v>0</v>
      </c>
      <c r="N7" s="20" t="n">
        <v>0</v>
      </c>
      <c r="O7" s="18" t="n">
        <v>0</v>
      </c>
      <c r="P7" s="20" t="n">
        <v>0</v>
      </c>
      <c r="Q7" s="18" t="n">
        <v>2.0561697</v>
      </c>
      <c r="R7" s="20" t="n">
        <v>0.58371439</v>
      </c>
    </row>
    <row r="8" spans="1:18">
      <c r="A8" s="15" t="s">
        <v>350</v>
      </c>
      <c r="B8" s="17" t="n">
        <v>3564</v>
      </c>
      <c r="C8" s="18">
        <f>(3093.0/B8*100)</f>
        <v/>
      </c>
      <c r="D8" s="19" t="n">
        <v>471</v>
      </c>
      <c r="E8" s="18" t="n">
        <v>66.3053536</v>
      </c>
      <c r="F8" s="20" t="n">
        <v>2.67980989</v>
      </c>
      <c r="G8" s="18" t="n">
        <v>30.50145863</v>
      </c>
      <c r="H8" s="20" t="n">
        <v>2.61075377</v>
      </c>
      <c r="I8" s="18" t="s">
        <v>349</v>
      </c>
      <c r="J8" s="20" t="s">
        <v>349</v>
      </c>
      <c r="K8" s="18" t="n">
        <v>1.33195252</v>
      </c>
      <c r="L8" s="20" t="n">
        <v>1.09527634</v>
      </c>
      <c r="M8" s="18" t="n">
        <v>0</v>
      </c>
      <c r="N8" s="20" t="n">
        <v>0</v>
      </c>
      <c r="O8" s="18" t="n">
        <v>0</v>
      </c>
      <c r="P8" s="20" t="n">
        <v>0</v>
      </c>
      <c r="Q8" s="18" t="n">
        <v>1.86123525</v>
      </c>
      <c r="R8" s="20" t="n">
        <v>0.83953011</v>
      </c>
    </row>
    <row r="9" spans="1:18">
      <c r="A9" s="15" t="s">
        <v>351</v>
      </c>
      <c r="B9" s="17" t="n">
        <v>4899</v>
      </c>
      <c r="C9" s="18">
        <f>(4158.0/B9*100)</f>
        <v/>
      </c>
      <c r="D9" s="19" t="n">
        <v>741</v>
      </c>
      <c r="E9" s="18" t="n">
        <v>60.32665526</v>
      </c>
      <c r="F9" s="20" t="n">
        <v>2.49757521</v>
      </c>
      <c r="G9" s="18" t="n">
        <v>35.97210722</v>
      </c>
      <c r="H9" s="20" t="n">
        <v>2.30230357</v>
      </c>
      <c r="I9" s="18" t="s">
        <v>349</v>
      </c>
      <c r="J9" s="20" t="s">
        <v>349</v>
      </c>
      <c r="K9" s="18" t="n">
        <v>1.97181655</v>
      </c>
      <c r="L9" s="20" t="n">
        <v>0.79722822</v>
      </c>
      <c r="M9" s="18" t="n">
        <v>0</v>
      </c>
      <c r="N9" s="20" t="n">
        <v>0</v>
      </c>
      <c r="O9" s="18" t="n">
        <v>0</v>
      </c>
      <c r="P9" s="20" t="n">
        <v>0</v>
      </c>
      <c r="Q9" s="18" t="n">
        <v>1.72942097</v>
      </c>
      <c r="R9" s="20" t="n">
        <v>0.56733571</v>
      </c>
    </row>
    <row r="10" spans="1:18">
      <c r="A10" s="15" t="s">
        <v>352</v>
      </c>
      <c r="B10" s="17" t="n">
        <v>10036</v>
      </c>
      <c r="C10" s="18">
        <f>(8811.0/B10*100)</f>
        <v/>
      </c>
      <c r="D10" s="19" t="n">
        <v>1225</v>
      </c>
      <c r="E10" s="18" t="n">
        <v>55.46344027</v>
      </c>
      <c r="F10" s="20" t="n">
        <v>2.12448751</v>
      </c>
      <c r="G10" s="18" t="n">
        <v>43.14248012</v>
      </c>
      <c r="H10" s="20" t="n">
        <v>2.06833851</v>
      </c>
      <c r="I10" s="18" t="s">
        <v>349</v>
      </c>
      <c r="J10" s="20" t="s">
        <v>349</v>
      </c>
      <c r="K10" s="18" t="n">
        <v>0.81882747</v>
      </c>
      <c r="L10" s="20" t="n">
        <v>0.38926906</v>
      </c>
      <c r="M10" s="18" t="n">
        <v>0</v>
      </c>
      <c r="N10" s="20" t="n">
        <v>0</v>
      </c>
      <c r="O10" s="18" t="n">
        <v>0</v>
      </c>
      <c r="P10" s="20" t="n">
        <v>0</v>
      </c>
      <c r="Q10" s="18" t="n">
        <v>0.57525215</v>
      </c>
      <c r="R10" s="20" t="n">
        <v>0.28639079</v>
      </c>
    </row>
    <row r="11" spans="1:18">
      <c r="A11" s="15" t="s">
        <v>353</v>
      </c>
      <c r="B11" s="17" t="n">
        <v>3553</v>
      </c>
      <c r="C11" s="18">
        <f>(3108.0/B11*100)</f>
        <v/>
      </c>
      <c r="D11" s="19" t="n">
        <v>445</v>
      </c>
      <c r="E11" s="18" t="n">
        <v>60.88149908</v>
      </c>
      <c r="F11" s="20" t="n">
        <v>2.91287534</v>
      </c>
      <c r="G11" s="18" t="n">
        <v>35.70452244</v>
      </c>
      <c r="H11" s="20" t="n">
        <v>2.59586886</v>
      </c>
      <c r="I11" s="18" t="s">
        <v>349</v>
      </c>
      <c r="J11" s="20" t="s">
        <v>349</v>
      </c>
      <c r="K11" s="18" t="n">
        <v>0.70369009</v>
      </c>
      <c r="L11" s="20" t="n">
        <v>0.44789473</v>
      </c>
      <c r="M11" s="18" t="n">
        <v>0</v>
      </c>
      <c r="N11" s="20" t="n">
        <v>0</v>
      </c>
      <c r="O11" s="18" t="n">
        <v>0</v>
      </c>
      <c r="P11" s="20" t="n">
        <v>0</v>
      </c>
      <c r="Q11" s="18" t="n">
        <v>2.71028839</v>
      </c>
      <c r="R11" s="20" t="n">
        <v>0.92024445</v>
      </c>
    </row>
    <row r="12" spans="1:18">
      <c r="A12" s="15" t="s">
        <v>354</v>
      </c>
      <c r="B12" s="17" t="n">
        <v>3472</v>
      </c>
      <c r="C12" s="18">
        <f>(3001.0/B12*100)</f>
        <v/>
      </c>
      <c r="D12" s="19" t="n">
        <v>471</v>
      </c>
      <c r="E12" s="18" t="n">
        <v>55.29731174</v>
      </c>
      <c r="F12" s="20" t="n">
        <v>2.45163586</v>
      </c>
      <c r="G12" s="18" t="n">
        <v>42.80002551</v>
      </c>
      <c r="H12" s="20" t="n">
        <v>2.580659</v>
      </c>
      <c r="I12" s="18" t="s">
        <v>349</v>
      </c>
      <c r="J12" s="20" t="s">
        <v>349</v>
      </c>
      <c r="K12" s="18" t="n">
        <v>1.03793927</v>
      </c>
      <c r="L12" s="20" t="n">
        <v>0.78970905</v>
      </c>
      <c r="M12" s="18" t="n">
        <v>0</v>
      </c>
      <c r="N12" s="20" t="n">
        <v>0</v>
      </c>
      <c r="O12" s="18" t="n">
        <v>0</v>
      </c>
      <c r="P12" s="20" t="n">
        <v>0</v>
      </c>
      <c r="Q12" s="18" t="n">
        <v>0.86472347</v>
      </c>
      <c r="R12" s="20" t="n">
        <v>0.42873149</v>
      </c>
    </row>
    <row r="13" spans="1:18">
      <c r="A13" s="15" t="s">
        <v>355</v>
      </c>
      <c r="B13" s="17" t="n">
        <v>3559</v>
      </c>
      <c r="C13" s="18">
        <f>(2939.0/B13*100)</f>
        <v/>
      </c>
      <c r="D13" s="19" t="n">
        <v>620</v>
      </c>
      <c r="E13" s="18" t="n">
        <v>52.27834178</v>
      </c>
      <c r="F13" s="20" t="n">
        <v>2.41632449</v>
      </c>
      <c r="G13" s="18" t="n">
        <v>46.01597893</v>
      </c>
      <c r="H13" s="20" t="n">
        <v>2.41575382</v>
      </c>
      <c r="I13" s="18" t="s">
        <v>349</v>
      </c>
      <c r="J13" s="20" t="s">
        <v>349</v>
      </c>
      <c r="K13" s="18" t="n">
        <v>0.96907094</v>
      </c>
      <c r="L13" s="20" t="n">
        <v>0.41282687</v>
      </c>
      <c r="M13" s="18" t="n">
        <v>0</v>
      </c>
      <c r="N13" s="20" t="n">
        <v>0</v>
      </c>
      <c r="O13" s="18" t="n">
        <v>0</v>
      </c>
      <c r="P13" s="20" t="n">
        <v>0</v>
      </c>
      <c r="Q13" s="18" t="n">
        <v>0.73660834</v>
      </c>
      <c r="R13" s="20" t="n">
        <v>0.42533842</v>
      </c>
    </row>
    <row r="14" spans="1:18">
      <c r="A14" s="15" t="s">
        <v>356</v>
      </c>
      <c r="B14" s="17" t="n">
        <v>2799</v>
      </c>
      <c r="C14" s="18">
        <f>(2470.0/B14*100)</f>
        <v/>
      </c>
      <c r="D14" s="19" t="n">
        <v>329</v>
      </c>
      <c r="E14" s="18" t="n">
        <v>56.08448293</v>
      </c>
      <c r="F14" s="20" t="n">
        <v>2.87629064</v>
      </c>
      <c r="G14" s="18" t="n">
        <v>43.20647876</v>
      </c>
      <c r="H14" s="20" t="n">
        <v>2.73117029</v>
      </c>
      <c r="I14" s="18" t="s">
        <v>349</v>
      </c>
      <c r="J14" s="20" t="s">
        <v>349</v>
      </c>
      <c r="K14" s="18" t="n">
        <v>0</v>
      </c>
      <c r="L14" s="20" t="n">
        <v>0</v>
      </c>
      <c r="M14" s="18" t="n">
        <v>0</v>
      </c>
      <c r="N14" s="20" t="n">
        <v>0</v>
      </c>
      <c r="O14" s="18" t="n">
        <v>0</v>
      </c>
      <c r="P14" s="20" t="n">
        <v>0</v>
      </c>
      <c r="Q14" s="18" t="n">
        <v>0.7090383099999999</v>
      </c>
      <c r="R14" s="20" t="n">
        <v>0.72696852</v>
      </c>
    </row>
    <row r="15" spans="1:18">
      <c r="A15" s="15" t="s">
        <v>357</v>
      </c>
      <c r="B15" s="17" t="n">
        <v>3019</v>
      </c>
      <c r="C15" s="18">
        <f>(2626.0/B15*100)</f>
        <v/>
      </c>
      <c r="D15" s="19" t="n">
        <v>393</v>
      </c>
      <c r="E15" s="18" t="n">
        <v>62.83189925</v>
      </c>
      <c r="F15" s="20" t="n">
        <v>2.49392707</v>
      </c>
      <c r="G15" s="18" t="n">
        <v>34.70916308</v>
      </c>
      <c r="H15" s="20" t="n">
        <v>2.30999519</v>
      </c>
      <c r="I15" s="18" t="s">
        <v>349</v>
      </c>
      <c r="J15" s="20" t="s">
        <v>349</v>
      </c>
      <c r="K15" s="18" t="n">
        <v>1.19989615</v>
      </c>
      <c r="L15" s="20" t="n">
        <v>0.92146879</v>
      </c>
      <c r="M15" s="18" t="n">
        <v>0</v>
      </c>
      <c r="N15" s="20" t="n">
        <v>0</v>
      </c>
      <c r="O15" s="18" t="n">
        <v>0</v>
      </c>
      <c r="P15" s="20" t="n">
        <v>0</v>
      </c>
      <c r="Q15" s="18" t="n">
        <v>1.25904153</v>
      </c>
      <c r="R15" s="20" t="n">
        <v>0.5486912900000001</v>
      </c>
    </row>
    <row r="16" spans="1:18">
      <c r="A16" s="15" t="s">
        <v>358</v>
      </c>
      <c r="B16" s="17" t="n">
        <v>2997</v>
      </c>
      <c r="C16" s="18">
        <f>(2619.0/B16*100)</f>
        <v/>
      </c>
      <c r="D16" s="19" t="n">
        <v>378</v>
      </c>
      <c r="E16" s="18" t="n">
        <v>51.95188512</v>
      </c>
      <c r="F16" s="20" t="n">
        <v>2.39500986</v>
      </c>
      <c r="G16" s="18" t="n">
        <v>45.68438806</v>
      </c>
      <c r="H16" s="20" t="n">
        <v>2.48334002</v>
      </c>
      <c r="I16" s="18" t="s">
        <v>349</v>
      </c>
      <c r="J16" s="20" t="s">
        <v>349</v>
      </c>
      <c r="K16" s="18" t="n">
        <v>0.56830284</v>
      </c>
      <c r="L16" s="20" t="n">
        <v>0.43225715</v>
      </c>
      <c r="M16" s="18" t="n">
        <v>0</v>
      </c>
      <c r="N16" s="20" t="n">
        <v>0</v>
      </c>
      <c r="O16" s="18" t="n">
        <v>0</v>
      </c>
      <c r="P16" s="20" t="n">
        <v>0</v>
      </c>
      <c r="Q16" s="18" t="n">
        <v>1.79542397</v>
      </c>
      <c r="R16" s="20" t="n">
        <v>0.63551073</v>
      </c>
    </row>
    <row r="17" spans="1:18">
      <c r="A17" s="15" t="s">
        <v>359</v>
      </c>
      <c r="B17" s="17" t="n">
        <v>3307</v>
      </c>
      <c r="C17" s="18">
        <f>(2803.0/B17*100)</f>
        <v/>
      </c>
      <c r="D17" s="19" t="n">
        <v>504</v>
      </c>
      <c r="E17" s="18" t="n">
        <v>57.71042974</v>
      </c>
      <c r="F17" s="20" t="n">
        <v>2.63421023</v>
      </c>
      <c r="G17" s="18" t="n">
        <v>34.44942805</v>
      </c>
      <c r="H17" s="20" t="n">
        <v>2.25189286</v>
      </c>
      <c r="I17" s="18" t="s">
        <v>349</v>
      </c>
      <c r="J17" s="20" t="s">
        <v>349</v>
      </c>
      <c r="K17" s="18" t="n">
        <v>5.47995417</v>
      </c>
      <c r="L17" s="20" t="n">
        <v>1.74038101</v>
      </c>
      <c r="M17" s="18" t="n">
        <v>0</v>
      </c>
      <c r="N17" s="20" t="n">
        <v>0</v>
      </c>
      <c r="O17" s="18" t="n">
        <v>0</v>
      </c>
      <c r="P17" s="20" t="n">
        <v>0</v>
      </c>
      <c r="Q17" s="18" t="n">
        <v>2.36018803</v>
      </c>
      <c r="R17" s="20" t="n">
        <v>0.56475826</v>
      </c>
    </row>
    <row r="18" spans="1:18">
      <c r="A18" s="15" t="s">
        <v>360</v>
      </c>
      <c r="B18" s="17" t="n">
        <v>2826</v>
      </c>
      <c r="C18" s="18">
        <f>(2482.0/B18*100)</f>
        <v/>
      </c>
      <c r="D18" s="19" t="n">
        <v>344</v>
      </c>
      <c r="E18" s="18" t="n">
        <v>65.12717839</v>
      </c>
      <c r="F18" s="20" t="n">
        <v>2.18480565</v>
      </c>
      <c r="G18" s="18" t="n">
        <v>32.91186003</v>
      </c>
      <c r="H18" s="20" t="n">
        <v>2.37478494</v>
      </c>
      <c r="I18" s="18" t="s">
        <v>349</v>
      </c>
      <c r="J18" s="20" t="s">
        <v>349</v>
      </c>
      <c r="K18" s="18" t="n">
        <v>0.84442427</v>
      </c>
      <c r="L18" s="20" t="n">
        <v>0.83063498</v>
      </c>
      <c r="M18" s="18" t="n">
        <v>0</v>
      </c>
      <c r="N18" s="20" t="n">
        <v>0</v>
      </c>
      <c r="O18" s="18" t="n">
        <v>0</v>
      </c>
      <c r="P18" s="20" t="n">
        <v>0</v>
      </c>
      <c r="Q18" s="18" t="n">
        <v>1.11653731</v>
      </c>
      <c r="R18" s="20" t="n">
        <v>0.56732719</v>
      </c>
    </row>
    <row r="19" spans="1:18">
      <c r="A19" s="15" t="s">
        <v>361</v>
      </c>
      <c r="B19" s="17" t="n">
        <v>2808</v>
      </c>
      <c r="C19" s="18">
        <f>(2467.0/B19*100)</f>
        <v/>
      </c>
      <c r="D19" s="19" t="n">
        <v>341</v>
      </c>
      <c r="E19" s="18" t="n">
        <v>60.90119158</v>
      </c>
      <c r="F19" s="20" t="n">
        <v>3.11895782</v>
      </c>
      <c r="G19" s="18" t="n">
        <v>38.59513052</v>
      </c>
      <c r="H19" s="20" t="n">
        <v>3.0386421</v>
      </c>
      <c r="I19" s="18" t="s">
        <v>349</v>
      </c>
      <c r="J19" s="20" t="s">
        <v>349</v>
      </c>
      <c r="K19" s="18" t="n">
        <v>0.22943772</v>
      </c>
      <c r="L19" s="20" t="n">
        <v>0.2333793</v>
      </c>
      <c r="M19" s="18" t="n">
        <v>0</v>
      </c>
      <c r="N19" s="20" t="n">
        <v>0</v>
      </c>
      <c r="O19" s="18" t="n">
        <v>0</v>
      </c>
      <c r="P19" s="20" t="n">
        <v>0</v>
      </c>
      <c r="Q19" s="18" t="n">
        <v>0.27424018</v>
      </c>
      <c r="R19" s="20" t="n">
        <v>0.27488161</v>
      </c>
    </row>
    <row r="20" spans="1:18">
      <c r="A20" s="15" t="s">
        <v>362</v>
      </c>
      <c r="B20" s="17" t="n">
        <v>1630</v>
      </c>
      <c r="C20" s="18">
        <f>(1424.0/B20*100)</f>
        <v/>
      </c>
      <c r="D20" s="19" t="n">
        <v>206</v>
      </c>
      <c r="E20" s="18" t="n">
        <v>48.74788473</v>
      </c>
      <c r="F20" s="20" t="n">
        <v>3.44898998</v>
      </c>
      <c r="G20" s="18" t="n">
        <v>48.85679004</v>
      </c>
      <c r="H20" s="20" t="n">
        <v>3.3839354</v>
      </c>
      <c r="I20" s="18" t="s">
        <v>349</v>
      </c>
      <c r="J20" s="20" t="s">
        <v>349</v>
      </c>
      <c r="K20" s="18" t="n">
        <v>0.45962615</v>
      </c>
      <c r="L20" s="20" t="n">
        <v>0.46144935</v>
      </c>
      <c r="M20" s="18" t="n">
        <v>0</v>
      </c>
      <c r="N20" s="20" t="n">
        <v>0</v>
      </c>
      <c r="O20" s="18" t="n">
        <v>0</v>
      </c>
      <c r="P20" s="20" t="n">
        <v>0</v>
      </c>
      <c r="Q20" s="18" t="n">
        <v>1.93569908</v>
      </c>
      <c r="R20" s="20" t="n">
        <v>0.98665705</v>
      </c>
    </row>
    <row r="21" spans="1:18">
      <c r="A21" s="15" t="s">
        <v>363</v>
      </c>
      <c r="B21" s="17" t="n">
        <v>2908</v>
      </c>
      <c r="C21" s="18">
        <f>(2408.0/B21*100)</f>
        <v/>
      </c>
      <c r="D21" s="19" t="n">
        <v>500</v>
      </c>
      <c r="E21" s="18" t="n">
        <v>45.44639149</v>
      </c>
      <c r="F21" s="20" t="n">
        <v>2.34934894</v>
      </c>
      <c r="G21" s="18" t="n">
        <v>52.38491039</v>
      </c>
      <c r="H21" s="20" t="n">
        <v>2.36377914</v>
      </c>
      <c r="I21" s="18" t="s">
        <v>349</v>
      </c>
      <c r="J21" s="20" t="s">
        <v>349</v>
      </c>
      <c r="K21" s="18" t="n">
        <v>0.86300361</v>
      </c>
      <c r="L21" s="20" t="n">
        <v>0.4402235</v>
      </c>
      <c r="M21" s="18" t="n">
        <v>0</v>
      </c>
      <c r="N21" s="20" t="n">
        <v>0</v>
      </c>
      <c r="O21" s="18" t="n">
        <v>0</v>
      </c>
      <c r="P21" s="20" t="n">
        <v>0</v>
      </c>
      <c r="Q21" s="18" t="n">
        <v>1.3056945</v>
      </c>
      <c r="R21" s="20" t="n">
        <v>0.56107913</v>
      </c>
    </row>
    <row r="22" spans="1:18">
      <c r="A22" s="15" t="s">
        <v>364</v>
      </c>
      <c r="B22" s="17" t="n">
        <v>2931</v>
      </c>
      <c r="C22" s="18">
        <f>(2560.0/B22*100)</f>
        <v/>
      </c>
      <c r="D22" s="19" t="n">
        <v>371</v>
      </c>
      <c r="E22" s="18" t="n">
        <v>53.501905</v>
      </c>
      <c r="F22" s="20" t="n">
        <v>2.63488824</v>
      </c>
      <c r="G22" s="18" t="n">
        <v>39.94449461</v>
      </c>
      <c r="H22" s="20" t="n">
        <v>2.5942243</v>
      </c>
      <c r="I22" s="18" t="s">
        <v>349</v>
      </c>
      <c r="J22" s="20" t="s">
        <v>349</v>
      </c>
      <c r="K22" s="18" t="n">
        <v>1.61954348</v>
      </c>
      <c r="L22" s="20" t="n">
        <v>0.85630419</v>
      </c>
      <c r="M22" s="18" t="n">
        <v>0</v>
      </c>
      <c r="N22" s="20" t="n">
        <v>0</v>
      </c>
      <c r="O22" s="18" t="n">
        <v>0</v>
      </c>
      <c r="P22" s="20" t="n">
        <v>0</v>
      </c>
      <c r="Q22" s="18" t="n">
        <v>4.93405691</v>
      </c>
      <c r="R22" s="20" t="n">
        <v>1.43218731</v>
      </c>
    </row>
    <row r="23" spans="1:18">
      <c r="A23" s="15" t="s">
        <v>365</v>
      </c>
      <c r="B23" s="17" t="n">
        <v>5791</v>
      </c>
      <c r="C23" s="18">
        <f>(5091.0/B23*100)</f>
        <v/>
      </c>
      <c r="D23" s="19" t="n">
        <v>700</v>
      </c>
      <c r="E23" s="18" t="n">
        <v>54.54742301</v>
      </c>
      <c r="F23" s="20" t="n">
        <v>2.68665226</v>
      </c>
      <c r="G23" s="18" t="n">
        <v>43.14108748</v>
      </c>
      <c r="H23" s="20" t="n">
        <v>2.64640651</v>
      </c>
      <c r="I23" s="18" t="s">
        <v>349</v>
      </c>
      <c r="J23" s="20" t="s">
        <v>349</v>
      </c>
      <c r="K23" s="18" t="n">
        <v>0.88786294</v>
      </c>
      <c r="L23" s="20" t="n">
        <v>0.4385341</v>
      </c>
      <c r="M23" s="18" t="n">
        <v>0</v>
      </c>
      <c r="N23" s="20" t="n">
        <v>0</v>
      </c>
      <c r="O23" s="18" t="n">
        <v>0</v>
      </c>
      <c r="P23" s="20" t="n">
        <v>0</v>
      </c>
      <c r="Q23" s="18" t="n">
        <v>1.42362657</v>
      </c>
      <c r="R23" s="20" t="n">
        <v>0.72295904</v>
      </c>
    </row>
    <row r="24" spans="1:18">
      <c r="A24" s="15" t="s">
        <v>366</v>
      </c>
      <c r="B24" s="17" t="n">
        <v>3338</v>
      </c>
      <c r="C24" s="18">
        <f>(2941.0/B24*100)</f>
        <v/>
      </c>
      <c r="D24" s="19" t="n">
        <v>397</v>
      </c>
      <c r="E24" s="18" t="n">
        <v>33.24498285</v>
      </c>
      <c r="F24" s="20" t="n">
        <v>1.96490911</v>
      </c>
      <c r="G24" s="18" t="n">
        <v>65.77850316</v>
      </c>
      <c r="H24" s="20" t="n">
        <v>2.09368339</v>
      </c>
      <c r="I24" s="18" t="s">
        <v>349</v>
      </c>
      <c r="J24" s="20" t="s">
        <v>349</v>
      </c>
      <c r="K24" s="18" t="n">
        <v>0.23239885</v>
      </c>
      <c r="L24" s="20" t="n">
        <v>0.23412297</v>
      </c>
      <c r="M24" s="18" t="n">
        <v>0</v>
      </c>
      <c r="N24" s="20" t="n">
        <v>0</v>
      </c>
      <c r="O24" s="18" t="n">
        <v>0</v>
      </c>
      <c r="P24" s="20" t="n">
        <v>0</v>
      </c>
      <c r="Q24" s="18" t="n">
        <v>0.74411513</v>
      </c>
      <c r="R24" s="20" t="n">
        <v>0.43627024</v>
      </c>
    </row>
    <row r="25" spans="1:18">
      <c r="A25" s="15" t="s">
        <v>367</v>
      </c>
      <c r="B25" s="17" t="n">
        <v>2912</v>
      </c>
      <c r="C25" s="18">
        <f>(2558.0/B25*100)</f>
        <v/>
      </c>
      <c r="D25" s="19" t="n">
        <v>354</v>
      </c>
      <c r="E25" s="18" t="n">
        <v>32.41037819</v>
      </c>
      <c r="F25" s="20" t="n">
        <v>2.68497567</v>
      </c>
      <c r="G25" s="18" t="n">
        <v>66.18944009000001</v>
      </c>
      <c r="H25" s="20" t="n">
        <v>2.61353546</v>
      </c>
      <c r="I25" s="18" t="s">
        <v>349</v>
      </c>
      <c r="J25" s="20" t="s">
        <v>349</v>
      </c>
      <c r="K25" s="18" t="n">
        <v>0.58845731</v>
      </c>
      <c r="L25" s="20" t="n">
        <v>0.42113335</v>
      </c>
      <c r="M25" s="18" t="n">
        <v>0</v>
      </c>
      <c r="N25" s="20" t="n">
        <v>0</v>
      </c>
      <c r="O25" s="18" t="n">
        <v>0</v>
      </c>
      <c r="P25" s="20" t="n">
        <v>0</v>
      </c>
      <c r="Q25" s="18" t="n">
        <v>0.81172442</v>
      </c>
      <c r="R25" s="20" t="n">
        <v>0.46465727</v>
      </c>
    </row>
    <row r="26" spans="1:18">
      <c r="A26" s="15" t="s">
        <v>368</v>
      </c>
      <c r="B26" s="17" t="n">
        <v>2450</v>
      </c>
      <c r="C26" s="18">
        <f>(2151.0/B26*100)</f>
        <v/>
      </c>
      <c r="D26" s="19" t="n">
        <v>299</v>
      </c>
      <c r="E26" s="18" t="n">
        <v>65.92088299</v>
      </c>
      <c r="F26" s="20" t="n">
        <v>3.14047576</v>
      </c>
      <c r="G26" s="18" t="n">
        <v>32.88906266</v>
      </c>
      <c r="H26" s="20" t="n">
        <v>3.22566765</v>
      </c>
      <c r="I26" s="18" t="s">
        <v>349</v>
      </c>
      <c r="J26" s="20" t="s">
        <v>349</v>
      </c>
      <c r="K26" s="18" t="n">
        <v>0</v>
      </c>
      <c r="L26" s="20" t="n">
        <v>0</v>
      </c>
      <c r="M26" s="18" t="n">
        <v>0</v>
      </c>
      <c r="N26" s="20" t="n">
        <v>0</v>
      </c>
      <c r="O26" s="18" t="n">
        <v>0</v>
      </c>
      <c r="P26" s="20" t="n">
        <v>0</v>
      </c>
      <c r="Q26" s="18" t="n">
        <v>1.19005436</v>
      </c>
      <c r="R26" s="20" t="n">
        <v>0.68324246</v>
      </c>
    </row>
    <row r="27" spans="1:18">
      <c r="A27" s="15" t="s">
        <v>369</v>
      </c>
      <c r="B27" s="17" t="n">
        <v>2616</v>
      </c>
      <c r="C27" s="18">
        <f>(2298.0/B27*100)</f>
        <v/>
      </c>
      <c r="D27" s="19" t="n">
        <v>318</v>
      </c>
      <c r="E27" s="18" t="n">
        <v>68.58419834999999</v>
      </c>
      <c r="F27" s="20" t="n">
        <v>2.5984131</v>
      </c>
      <c r="G27" s="18" t="n">
        <v>28.90079845</v>
      </c>
      <c r="H27" s="20" t="n">
        <v>2.46678622</v>
      </c>
      <c r="I27" s="18" t="s">
        <v>349</v>
      </c>
      <c r="J27" s="20" t="s">
        <v>349</v>
      </c>
      <c r="K27" s="18" t="n">
        <v>0.64598656</v>
      </c>
      <c r="L27" s="20" t="n">
        <v>0.45403867</v>
      </c>
      <c r="M27" s="18" t="n">
        <v>0</v>
      </c>
      <c r="N27" s="20" t="n">
        <v>0</v>
      </c>
      <c r="O27" s="18" t="n">
        <v>0</v>
      </c>
      <c r="P27" s="20" t="n">
        <v>0</v>
      </c>
      <c r="Q27" s="18" t="n">
        <v>1.86901664</v>
      </c>
      <c r="R27" s="20" t="n">
        <v>0.7729039599999999</v>
      </c>
    </row>
    <row r="28" spans="1:18">
      <c r="A28" s="15" t="s">
        <v>370</v>
      </c>
      <c r="B28" s="17" t="n">
        <v>3765</v>
      </c>
      <c r="C28" s="18">
        <f>(3288.0/B28*100)</f>
        <v/>
      </c>
      <c r="D28" s="19" t="n">
        <v>477</v>
      </c>
      <c r="E28" s="18" t="n">
        <v>75.3310037</v>
      </c>
      <c r="F28" s="20" t="n">
        <v>2.24089134</v>
      </c>
      <c r="G28" s="18" t="n">
        <v>22.53791351</v>
      </c>
      <c r="H28" s="20" t="n">
        <v>2.05463567</v>
      </c>
      <c r="I28" s="18" t="s">
        <v>349</v>
      </c>
      <c r="J28" s="20" t="s">
        <v>349</v>
      </c>
      <c r="K28" s="18" t="n">
        <v>0.64014185</v>
      </c>
      <c r="L28" s="20" t="n">
        <v>0.4229416</v>
      </c>
      <c r="M28" s="18" t="n">
        <v>0</v>
      </c>
      <c r="N28" s="20" t="n">
        <v>0</v>
      </c>
      <c r="O28" s="18" t="n">
        <v>0</v>
      </c>
      <c r="P28" s="20" t="n">
        <v>0</v>
      </c>
      <c r="Q28" s="18" t="n">
        <v>1.49094094</v>
      </c>
      <c r="R28" s="20" t="n">
        <v>0.63670395</v>
      </c>
    </row>
    <row r="29" spans="1:18">
      <c r="A29" s="15" t="s">
        <v>371</v>
      </c>
      <c r="B29" s="17" t="n">
        <v>2685</v>
      </c>
      <c r="C29" s="18">
        <f>(2332.0/B29*100)</f>
        <v/>
      </c>
      <c r="D29" s="19" t="n">
        <v>353</v>
      </c>
      <c r="E29" s="18" t="n">
        <v>50.29111746</v>
      </c>
      <c r="F29" s="20" t="n">
        <v>2.15034295</v>
      </c>
      <c r="G29" s="18" t="n">
        <v>46.7725831</v>
      </c>
      <c r="H29" s="20" t="n">
        <v>2.647129</v>
      </c>
      <c r="I29" s="18" t="s">
        <v>349</v>
      </c>
      <c r="J29" s="20" t="s">
        <v>349</v>
      </c>
      <c r="K29" s="18" t="n">
        <v>2.38675592</v>
      </c>
      <c r="L29" s="20" t="n">
        <v>1.35980836</v>
      </c>
      <c r="M29" s="18" t="n">
        <v>0</v>
      </c>
      <c r="N29" s="20" t="n">
        <v>0</v>
      </c>
      <c r="O29" s="18" t="n">
        <v>0</v>
      </c>
      <c r="P29" s="20" t="n">
        <v>0</v>
      </c>
      <c r="Q29" s="18" t="n">
        <v>0.54954352</v>
      </c>
      <c r="R29" s="20" t="n">
        <v>0.40175224</v>
      </c>
    </row>
    <row r="30" spans="1:18">
      <c r="A30" s="15" t="s">
        <v>372</v>
      </c>
      <c r="B30" s="17" t="n">
        <v>2263</v>
      </c>
      <c r="C30" s="18">
        <f>(1996.0/B30*100)</f>
        <v/>
      </c>
      <c r="D30" s="19" t="n">
        <v>267</v>
      </c>
      <c r="E30" s="18" t="n">
        <v>47.54684131</v>
      </c>
      <c r="F30" s="20" t="n">
        <v>3.17905914</v>
      </c>
      <c r="G30" s="18" t="n">
        <v>50.21093196</v>
      </c>
      <c r="H30" s="20" t="n">
        <v>3.12867698</v>
      </c>
      <c r="I30" s="18" t="s">
        <v>349</v>
      </c>
      <c r="J30" s="20" t="s">
        <v>349</v>
      </c>
      <c r="K30" s="18" t="n">
        <v>0.33366511</v>
      </c>
      <c r="L30" s="20" t="n">
        <v>0.33870989</v>
      </c>
      <c r="M30" s="18" t="n">
        <v>0</v>
      </c>
      <c r="N30" s="20" t="n">
        <v>0</v>
      </c>
      <c r="O30" s="18" t="n">
        <v>0</v>
      </c>
      <c r="P30" s="20" t="n">
        <v>0</v>
      </c>
      <c r="Q30" s="18" t="n">
        <v>1.90856162</v>
      </c>
      <c r="R30" s="20" t="n">
        <v>0.73399462</v>
      </c>
    </row>
    <row r="31" spans="1:18">
      <c r="A31" s="15" t="s">
        <v>373</v>
      </c>
      <c r="B31" s="17" t="n">
        <v>2750</v>
      </c>
      <c r="C31" s="18">
        <f>(2421.0/B31*100)</f>
        <v/>
      </c>
      <c r="D31" s="19" t="n">
        <v>329</v>
      </c>
      <c r="E31" s="18" t="n">
        <v>49.51859778</v>
      </c>
      <c r="F31" s="20" t="n">
        <v>3.33083651</v>
      </c>
      <c r="G31" s="18" t="n">
        <v>49.24609555</v>
      </c>
      <c r="H31" s="20" t="n">
        <v>3.21838629</v>
      </c>
      <c r="I31" s="18" t="s">
        <v>349</v>
      </c>
      <c r="J31" s="20" t="s">
        <v>349</v>
      </c>
      <c r="K31" s="18" t="n">
        <v>0.6402278300000001</v>
      </c>
      <c r="L31" s="20" t="n">
        <v>0.44539249</v>
      </c>
      <c r="M31" s="18" t="n">
        <v>0</v>
      </c>
      <c r="N31" s="20" t="n">
        <v>0</v>
      </c>
      <c r="O31" s="18" t="n">
        <v>0</v>
      </c>
      <c r="P31" s="20" t="n">
        <v>0</v>
      </c>
      <c r="Q31" s="18" t="n">
        <v>0.59507885</v>
      </c>
      <c r="R31" s="20" t="n">
        <v>0.45168235</v>
      </c>
    </row>
    <row r="32" spans="1:18">
      <c r="A32" s="15" t="s">
        <v>374</v>
      </c>
      <c r="B32" s="17" t="n">
        <v>2269</v>
      </c>
      <c r="C32" s="18">
        <f>(1853.0/B32*100)</f>
        <v/>
      </c>
      <c r="D32" s="19" t="n">
        <v>416</v>
      </c>
      <c r="E32" s="18" t="n">
        <v>52.15160723</v>
      </c>
      <c r="F32" s="20" t="n">
        <v>2.61207187</v>
      </c>
      <c r="G32" s="18" t="n">
        <v>47.62144603</v>
      </c>
      <c r="H32" s="20" t="n">
        <v>2.62493662</v>
      </c>
      <c r="I32" s="18" t="s">
        <v>349</v>
      </c>
      <c r="J32" s="20" t="s">
        <v>349</v>
      </c>
      <c r="K32" s="18" t="n">
        <v>0</v>
      </c>
      <c r="L32" s="20" t="n">
        <v>0</v>
      </c>
      <c r="M32" s="18" t="n">
        <v>0</v>
      </c>
      <c r="N32" s="20" t="n">
        <v>0</v>
      </c>
      <c r="O32" s="18" t="n">
        <v>0</v>
      </c>
      <c r="P32" s="20" t="n">
        <v>0</v>
      </c>
      <c r="Q32" s="18" t="n">
        <v>0.22694674</v>
      </c>
      <c r="R32" s="20" t="n">
        <v>0.22916377</v>
      </c>
    </row>
    <row r="33" spans="1:18">
      <c r="A33" s="15" t="s">
        <v>375</v>
      </c>
      <c r="B33" s="17" t="n">
        <v>3674</v>
      </c>
      <c r="C33" s="18">
        <f>(3243.0/B33*100)</f>
        <v/>
      </c>
      <c r="D33" s="19" t="n">
        <v>431</v>
      </c>
      <c r="E33" s="18" t="n">
        <v>46.57134152</v>
      </c>
      <c r="F33" s="20" t="n">
        <v>2.78103621</v>
      </c>
      <c r="G33" s="18" t="n">
        <v>52.14262677</v>
      </c>
      <c r="H33" s="20" t="n">
        <v>2.87697812</v>
      </c>
      <c r="I33" s="18" t="s">
        <v>349</v>
      </c>
      <c r="J33" s="20" t="s">
        <v>349</v>
      </c>
      <c r="K33" s="18" t="n">
        <v>0.6889505</v>
      </c>
      <c r="L33" s="20" t="n">
        <v>0.7981675</v>
      </c>
      <c r="M33" s="18" t="n">
        <v>0</v>
      </c>
      <c r="N33" s="20" t="n">
        <v>0</v>
      </c>
      <c r="O33" s="18" t="n">
        <v>0</v>
      </c>
      <c r="P33" s="20" t="n">
        <v>0</v>
      </c>
      <c r="Q33" s="18" t="n">
        <v>0.59708121</v>
      </c>
      <c r="R33" s="20" t="n">
        <v>0.34103251</v>
      </c>
    </row>
    <row r="34" spans="1:18">
      <c r="A34" s="15" t="s">
        <v>376</v>
      </c>
      <c r="B34" s="17" t="n">
        <v>3315</v>
      </c>
      <c r="C34" s="18">
        <f>(2842.0/B34*100)</f>
        <v/>
      </c>
      <c r="D34" s="19" t="n">
        <v>473</v>
      </c>
      <c r="E34" s="18" t="n">
        <v>59.59848315</v>
      </c>
      <c r="F34" s="20" t="n">
        <v>2.44541684</v>
      </c>
      <c r="G34" s="18" t="n">
        <v>38.17967377</v>
      </c>
      <c r="H34" s="20" t="n">
        <v>2.54800649</v>
      </c>
      <c r="I34" s="18" t="s">
        <v>349</v>
      </c>
      <c r="J34" s="20" t="s">
        <v>349</v>
      </c>
      <c r="K34" s="18" t="n">
        <v>0.5135493</v>
      </c>
      <c r="L34" s="20" t="n">
        <v>0.28196725</v>
      </c>
      <c r="M34" s="18" t="n">
        <v>0</v>
      </c>
      <c r="N34" s="20" t="n">
        <v>0</v>
      </c>
      <c r="O34" s="18" t="n">
        <v>0</v>
      </c>
      <c r="P34" s="20" t="n">
        <v>0</v>
      </c>
      <c r="Q34" s="18" t="n">
        <v>1.70829378</v>
      </c>
      <c r="R34" s="20" t="n">
        <v>0.54841289</v>
      </c>
    </row>
    <row r="35" spans="1:18">
      <c r="A35" s="15" t="s">
        <v>377</v>
      </c>
      <c r="B35" s="17" t="n">
        <v>3505</v>
      </c>
      <c r="C35" s="18">
        <f>(2988.0/B35*100)</f>
        <v/>
      </c>
      <c r="D35" s="19" t="n">
        <v>517</v>
      </c>
      <c r="E35" s="18" t="n">
        <v>48.67695905</v>
      </c>
      <c r="F35" s="20" t="n">
        <v>3.03259087</v>
      </c>
      <c r="G35" s="18" t="n">
        <v>49.44656534</v>
      </c>
      <c r="H35" s="20" t="n">
        <v>3.02882681</v>
      </c>
      <c r="I35" s="18" t="s">
        <v>349</v>
      </c>
      <c r="J35" s="20" t="s">
        <v>349</v>
      </c>
      <c r="K35" s="18" t="n">
        <v>1.03829982</v>
      </c>
      <c r="L35" s="20" t="n">
        <v>0.32570125</v>
      </c>
      <c r="M35" s="18" t="n">
        <v>0</v>
      </c>
      <c r="N35" s="20" t="n">
        <v>0</v>
      </c>
      <c r="O35" s="18" t="n">
        <v>0</v>
      </c>
      <c r="P35" s="20" t="n">
        <v>0</v>
      </c>
      <c r="Q35" s="18" t="n">
        <v>0.8381758</v>
      </c>
      <c r="R35" s="20" t="n">
        <v>0.30954354</v>
      </c>
    </row>
    <row r="36" spans="1:18">
      <c r="A36" s="15" t="s">
        <v>378</v>
      </c>
      <c r="B36" s="17" t="n">
        <v>3332</v>
      </c>
      <c r="C36" s="18">
        <f>(2926.0/B36*100)</f>
        <v/>
      </c>
      <c r="D36" s="19" t="n">
        <v>406</v>
      </c>
      <c r="E36" s="18" t="n">
        <v>64.20779841</v>
      </c>
      <c r="F36" s="20" t="n">
        <v>2.58708964</v>
      </c>
      <c r="G36" s="18" t="n">
        <v>34.32182986</v>
      </c>
      <c r="H36" s="20" t="n">
        <v>2.52923834</v>
      </c>
      <c r="I36" s="18" t="s">
        <v>349</v>
      </c>
      <c r="J36" s="20" t="s">
        <v>349</v>
      </c>
      <c r="K36" s="18" t="n">
        <v>0.49899679</v>
      </c>
      <c r="L36" s="20" t="n">
        <v>0.38218919</v>
      </c>
      <c r="M36" s="18" t="n">
        <v>0</v>
      </c>
      <c r="N36" s="20" t="n">
        <v>0</v>
      </c>
      <c r="O36" s="18" t="n">
        <v>0</v>
      </c>
      <c r="P36" s="20" t="n">
        <v>0</v>
      </c>
      <c r="Q36" s="18" t="n">
        <v>0.97137494</v>
      </c>
      <c r="R36" s="20" t="n">
        <v>0.5435386800000001</v>
      </c>
    </row>
    <row r="37" spans="1:18">
      <c r="A37" s="15" t="s">
        <v>379</v>
      </c>
      <c r="B37" s="17" t="n">
        <v>2727</v>
      </c>
      <c r="C37" s="18">
        <f>(2397.0/B37*100)</f>
        <v/>
      </c>
      <c r="D37" s="19" t="n">
        <v>330</v>
      </c>
      <c r="E37" s="18" t="n">
        <v>50.60156917</v>
      </c>
      <c r="F37" s="20" t="n">
        <v>2.78603169</v>
      </c>
      <c r="G37" s="18" t="n">
        <v>47.57105296</v>
      </c>
      <c r="H37" s="20" t="n">
        <v>2.79078897</v>
      </c>
      <c r="I37" s="18" t="s">
        <v>349</v>
      </c>
      <c r="J37" s="20" t="s">
        <v>349</v>
      </c>
      <c r="K37" s="18" t="n">
        <v>0.85730848</v>
      </c>
      <c r="L37" s="20" t="n">
        <v>0.55774442</v>
      </c>
      <c r="M37" s="18" t="n">
        <v>0</v>
      </c>
      <c r="N37" s="20" t="n">
        <v>0</v>
      </c>
      <c r="O37" s="18" t="n">
        <v>0</v>
      </c>
      <c r="P37" s="20" t="n">
        <v>0</v>
      </c>
      <c r="Q37" s="18" t="n">
        <v>0.9700694</v>
      </c>
      <c r="R37" s="20" t="n">
        <v>0.55500403</v>
      </c>
    </row>
    <row r="38" spans="1:18">
      <c r="A38" s="15" t="s">
        <v>380</v>
      </c>
      <c r="B38" s="17" t="n">
        <v>3053</v>
      </c>
      <c r="C38" s="18">
        <f>(2523.0/B38*100)</f>
        <v/>
      </c>
      <c r="D38" s="19" t="n">
        <v>530</v>
      </c>
      <c r="E38" s="18" t="n">
        <v>60.67778374</v>
      </c>
      <c r="F38" s="20" t="n">
        <v>2.26696112</v>
      </c>
      <c r="G38" s="18" t="n">
        <v>37.6483558</v>
      </c>
      <c r="H38" s="20" t="n">
        <v>2.29308918</v>
      </c>
      <c r="I38" s="18" t="s">
        <v>349</v>
      </c>
      <c r="J38" s="20" t="s">
        <v>349</v>
      </c>
      <c r="K38" s="18" t="n">
        <v>0.9673982</v>
      </c>
      <c r="L38" s="20" t="n">
        <v>0.53071409</v>
      </c>
      <c r="M38" s="18" t="n">
        <v>0</v>
      </c>
      <c r="N38" s="20" t="n">
        <v>0</v>
      </c>
      <c r="O38" s="18" t="n">
        <v>0</v>
      </c>
      <c r="P38" s="20" t="n">
        <v>0</v>
      </c>
      <c r="Q38" s="18" t="n">
        <v>0.70646225</v>
      </c>
      <c r="R38" s="20" t="n">
        <v>0.38648127</v>
      </c>
    </row>
    <row r="39" spans="1:18">
      <c r="A39" s="15" t="s">
        <v>381</v>
      </c>
      <c r="B39" s="17" t="n">
        <v>2957</v>
      </c>
      <c r="C39" s="18">
        <f>(2613.0/B39*100)</f>
        <v/>
      </c>
      <c r="D39" s="19" t="n">
        <v>344</v>
      </c>
      <c r="E39" s="18" t="n">
        <v>57.9128946</v>
      </c>
      <c r="F39" s="20" t="n">
        <v>3.00667072</v>
      </c>
      <c r="G39" s="18" t="n">
        <v>40.46510025</v>
      </c>
      <c r="H39" s="20" t="n">
        <v>3.15093848</v>
      </c>
      <c r="I39" s="18" t="s">
        <v>349</v>
      </c>
      <c r="J39" s="20" t="s">
        <v>349</v>
      </c>
      <c r="K39" s="18" t="n">
        <v>0</v>
      </c>
      <c r="L39" s="20" t="n">
        <v>0</v>
      </c>
      <c r="M39" s="18" t="n">
        <v>0</v>
      </c>
      <c r="N39" s="20" t="n">
        <v>0</v>
      </c>
      <c r="O39" s="18" t="n">
        <v>0</v>
      </c>
      <c r="P39" s="20" t="n">
        <v>0</v>
      </c>
      <c r="Q39" s="18" t="n">
        <v>1.62200515</v>
      </c>
      <c r="R39" s="20" t="n">
        <v>0.86176196</v>
      </c>
    </row>
    <row r="40" spans="1:18">
      <c r="A40" s="15" t="s">
        <v>382</v>
      </c>
      <c r="B40" s="17" t="n">
        <v>7235</v>
      </c>
      <c r="C40" s="18">
        <f>(6350.0/B40*100)</f>
        <v/>
      </c>
      <c r="D40" s="19" t="n">
        <v>885</v>
      </c>
      <c r="E40" s="18" t="n">
        <v>47.38360596</v>
      </c>
      <c r="F40" s="20" t="n">
        <v>2.25213504</v>
      </c>
      <c r="G40" s="18" t="n">
        <v>51.30943774</v>
      </c>
      <c r="H40" s="20" t="n">
        <v>2.28719662</v>
      </c>
      <c r="I40" s="18" t="s">
        <v>349</v>
      </c>
      <c r="J40" s="20" t="s">
        <v>349</v>
      </c>
      <c r="K40" s="18" t="n">
        <v>0.01895738</v>
      </c>
      <c r="L40" s="20" t="n">
        <v>0.01937279</v>
      </c>
      <c r="M40" s="18" t="n">
        <v>0</v>
      </c>
      <c r="N40" s="20" t="n">
        <v>0</v>
      </c>
      <c r="O40" s="18" t="n">
        <v>0</v>
      </c>
      <c r="P40" s="20" t="n">
        <v>0</v>
      </c>
      <c r="Q40" s="18" t="n">
        <v>1.28799892</v>
      </c>
      <c r="R40" s="20" t="n">
        <v>0.56913993</v>
      </c>
    </row>
    <row r="41" spans="1:18">
      <c r="A41" s="15" t="s">
        <v>383</v>
      </c>
      <c r="B41" s="17" t="n">
        <v>2858</v>
      </c>
      <c r="C41" s="18">
        <f>(2491.0/B41*100)</f>
        <v/>
      </c>
      <c r="D41" s="19" t="n">
        <v>367</v>
      </c>
      <c r="E41" s="18" t="n">
        <v>56.94450853</v>
      </c>
      <c r="F41" s="20" t="n">
        <v>2.7176783</v>
      </c>
      <c r="G41" s="18" t="n">
        <v>42.06980237</v>
      </c>
      <c r="H41" s="20" t="n">
        <v>2.72925742</v>
      </c>
      <c r="I41" s="18" t="s">
        <v>349</v>
      </c>
      <c r="J41" s="20" t="s">
        <v>349</v>
      </c>
      <c r="K41" s="18" t="n">
        <v>0</v>
      </c>
      <c r="L41" s="20" t="n">
        <v>0</v>
      </c>
      <c r="M41" s="18" t="n">
        <v>0</v>
      </c>
      <c r="N41" s="20" t="n">
        <v>0</v>
      </c>
      <c r="O41" s="18" t="n">
        <v>0</v>
      </c>
      <c r="P41" s="20" t="n">
        <v>0</v>
      </c>
      <c r="Q41" s="18" t="n">
        <v>0.9856891</v>
      </c>
      <c r="R41" s="20" t="n">
        <v>0.5038184999999999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(9854.0/B46*100)</f>
        <v/>
      </c>
      <c r="D46" s="19" t="n">
        <v>1214</v>
      </c>
      <c r="E46" s="18" t="n">
        <v>72.39775243</v>
      </c>
      <c r="F46" s="20" t="n">
        <v>1.80054869</v>
      </c>
      <c r="G46" s="18" t="n">
        <v>23.592852</v>
      </c>
      <c r="H46" s="20" t="n">
        <v>1.75293373</v>
      </c>
      <c r="I46" s="18" t="s">
        <v>349</v>
      </c>
      <c r="J46" s="20" t="s">
        <v>349</v>
      </c>
      <c r="K46" s="18" t="n">
        <v>1.60247056</v>
      </c>
      <c r="L46" s="20" t="n">
        <v>0.40716822</v>
      </c>
      <c r="M46" s="18" t="n">
        <v>0</v>
      </c>
      <c r="N46" s="20" t="n">
        <v>0</v>
      </c>
      <c r="O46" s="18" t="n">
        <v>0</v>
      </c>
      <c r="P46" s="20" t="n">
        <v>0</v>
      </c>
      <c r="Q46" s="18" t="n">
        <v>2.40692501</v>
      </c>
      <c r="R46" s="20" t="n">
        <v>0.60187864</v>
      </c>
    </row>
    <row r="47" spans="1:18">
      <c r="A47" s="15" t="s">
        <v>389</v>
      </c>
      <c r="B47" s="17" t="n">
        <v>3105</v>
      </c>
      <c r="C47" s="18">
        <f>(2715.0/B47*100)</f>
        <v/>
      </c>
      <c r="D47" s="19" t="n">
        <v>390</v>
      </c>
      <c r="E47" s="18" t="n">
        <v>66.08604212</v>
      </c>
      <c r="F47" s="20" t="n">
        <v>2.53199721</v>
      </c>
      <c r="G47" s="18" t="n">
        <v>31.85391647</v>
      </c>
      <c r="H47" s="20" t="n">
        <v>2.41146626</v>
      </c>
      <c r="I47" s="18" t="s">
        <v>349</v>
      </c>
      <c r="J47" s="20" t="s">
        <v>349</v>
      </c>
      <c r="K47" s="18" t="n">
        <v>0.5059630899999999</v>
      </c>
      <c r="L47" s="20" t="n">
        <v>0.38500394</v>
      </c>
      <c r="M47" s="18" t="n">
        <v>0</v>
      </c>
      <c r="N47" s="20" t="n">
        <v>0</v>
      </c>
      <c r="O47" s="18" t="n">
        <v>0</v>
      </c>
      <c r="P47" s="20" t="n">
        <v>0</v>
      </c>
      <c r="Q47" s="18" t="n">
        <v>1.55407832</v>
      </c>
      <c r="R47" s="20" t="n">
        <v>0.75072194</v>
      </c>
    </row>
    <row r="48" spans="1:18">
      <c r="A48" s="15" t="s">
        <v>390</v>
      </c>
      <c r="B48" s="17" t="n">
        <v>5159</v>
      </c>
      <c r="C48" s="18">
        <f>(4547.0/B48*100)</f>
        <v/>
      </c>
      <c r="D48" s="19" t="n">
        <v>612</v>
      </c>
      <c r="E48" s="18" t="n">
        <v>39.10338451</v>
      </c>
      <c r="F48" s="20" t="n">
        <v>2.64319924</v>
      </c>
      <c r="G48" s="18" t="n">
        <v>60.05378421</v>
      </c>
      <c r="H48" s="20" t="n">
        <v>2.7279659</v>
      </c>
      <c r="I48" s="18" t="s">
        <v>349</v>
      </c>
      <c r="J48" s="20" t="s">
        <v>349</v>
      </c>
      <c r="K48" s="18" t="n">
        <v>0.83887491</v>
      </c>
      <c r="L48" s="20" t="n">
        <v>0.61641934</v>
      </c>
      <c r="M48" s="18" t="n">
        <v>0</v>
      </c>
      <c r="N48" s="20" t="n">
        <v>0</v>
      </c>
      <c r="O48" s="18" t="n">
        <v>0</v>
      </c>
      <c r="P48" s="20" t="n">
        <v>0</v>
      </c>
      <c r="Q48" s="18" t="n">
        <v>0.00395636</v>
      </c>
      <c r="R48" s="20" t="n">
        <v>0.002313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(4949.0/B50*100)</f>
        <v/>
      </c>
      <c r="D50" s="19" t="n">
        <v>688</v>
      </c>
      <c r="E50" s="18" t="n">
        <v>80.39852329</v>
      </c>
      <c r="F50" s="20" t="n">
        <v>1.8279136</v>
      </c>
      <c r="G50" s="18" t="n">
        <v>16.55797357</v>
      </c>
      <c r="H50" s="20" t="n">
        <v>1.58586319</v>
      </c>
      <c r="I50" s="18" t="s">
        <v>349</v>
      </c>
      <c r="J50" s="20" t="s">
        <v>349</v>
      </c>
      <c r="K50" s="18" t="n">
        <v>1.95674218</v>
      </c>
      <c r="L50" s="20" t="n">
        <v>1.02817963</v>
      </c>
      <c r="M50" s="18" t="n">
        <v>0</v>
      </c>
      <c r="N50" s="20" t="n">
        <v>0</v>
      </c>
      <c r="O50" s="18" t="n">
        <v>0</v>
      </c>
      <c r="P50" s="20" t="n">
        <v>0</v>
      </c>
      <c r="Q50" s="18" t="n">
        <v>1.08676096</v>
      </c>
      <c r="R50" s="20" t="n">
        <v>0.49369152</v>
      </c>
    </row>
    <row r="51" spans="1:18">
      <c r="A51" s="15" t="s">
        <v>393</v>
      </c>
      <c r="B51" s="17" t="n">
        <v>3372</v>
      </c>
      <c r="C51" s="18">
        <f>(2648.0/B51*100)</f>
        <v/>
      </c>
      <c r="D51" s="19" t="n">
        <v>724</v>
      </c>
      <c r="E51" s="18" t="n">
        <v>73.82549711999999</v>
      </c>
      <c r="F51" s="20" t="n">
        <v>1.78701024</v>
      </c>
      <c r="G51" s="18" t="n">
        <v>22.87691664</v>
      </c>
      <c r="H51" s="20" t="n">
        <v>1.69445906</v>
      </c>
      <c r="I51" s="18" t="s">
        <v>349</v>
      </c>
      <c r="J51" s="20" t="s">
        <v>349</v>
      </c>
      <c r="K51" s="18" t="n">
        <v>0.420747</v>
      </c>
      <c r="L51" s="20" t="n">
        <v>0.22145746</v>
      </c>
      <c r="M51" s="18" t="n">
        <v>0</v>
      </c>
      <c r="N51" s="20" t="n">
        <v>0</v>
      </c>
      <c r="O51" s="18" t="n">
        <v>0</v>
      </c>
      <c r="P51" s="20" t="n">
        <v>0</v>
      </c>
      <c r="Q51" s="18" t="n">
        <v>2.87683925</v>
      </c>
      <c r="R51" s="20" t="n">
        <v>0.84993283</v>
      </c>
    </row>
    <row r="52" spans="1:18">
      <c r="A52" s="15" t="s">
        <v>394</v>
      </c>
      <c r="B52" s="17" t="n">
        <v>2796</v>
      </c>
      <c r="C52" s="18">
        <f>(2460.0/B52*100)</f>
        <v/>
      </c>
      <c r="D52" s="19" t="n">
        <v>336</v>
      </c>
      <c r="E52" s="18" t="n">
        <v>63.42707487</v>
      </c>
      <c r="F52" s="20" t="n">
        <v>2.27905695</v>
      </c>
      <c r="G52" s="18" t="n">
        <v>33.93976965</v>
      </c>
      <c r="H52" s="20" t="n">
        <v>2.42055077</v>
      </c>
      <c r="I52" s="18" t="s">
        <v>349</v>
      </c>
      <c r="J52" s="20" t="s">
        <v>349</v>
      </c>
      <c r="K52" s="18" t="n">
        <v>0.93583521</v>
      </c>
      <c r="L52" s="20" t="n">
        <v>0.57343648</v>
      </c>
      <c r="M52" s="18" t="n">
        <v>0</v>
      </c>
      <c r="N52" s="20" t="n">
        <v>0</v>
      </c>
      <c r="O52" s="18" t="n">
        <v>0</v>
      </c>
      <c r="P52" s="20" t="n">
        <v>0</v>
      </c>
      <c r="Q52" s="18" t="n">
        <v>1.69732027</v>
      </c>
      <c r="R52" s="20" t="n">
        <v>0.77361787</v>
      </c>
    </row>
    <row r="53" spans="1:18">
      <c r="A53" s="15" t="s">
        <v>395</v>
      </c>
      <c r="B53" s="17" t="n">
        <v>2811</v>
      </c>
      <c r="C53" s="18">
        <f>(2474.0/B53*100)</f>
        <v/>
      </c>
      <c r="D53" s="19" t="n">
        <v>337</v>
      </c>
      <c r="E53" s="18" t="n">
        <v>60.31121717</v>
      </c>
      <c r="F53" s="20" t="n">
        <v>2.83293062</v>
      </c>
      <c r="G53" s="18" t="n">
        <v>37.62479241</v>
      </c>
      <c r="H53" s="20" t="n">
        <v>2.76978683</v>
      </c>
      <c r="I53" s="18" t="s">
        <v>349</v>
      </c>
      <c r="J53" s="20" t="s">
        <v>349</v>
      </c>
      <c r="K53" s="18" t="n">
        <v>0.96444422</v>
      </c>
      <c r="L53" s="20" t="n">
        <v>0.58055749</v>
      </c>
      <c r="M53" s="18" t="n">
        <v>0</v>
      </c>
      <c r="N53" s="20" t="n">
        <v>0</v>
      </c>
      <c r="O53" s="18" t="n">
        <v>0</v>
      </c>
      <c r="P53" s="20" t="n">
        <v>0</v>
      </c>
      <c r="Q53" s="18" t="n">
        <v>1.0995462</v>
      </c>
      <c r="R53" s="20" t="n">
        <v>0.48302899</v>
      </c>
    </row>
    <row r="54" spans="1:18">
      <c r="A54" s="15" t="s">
        <v>396</v>
      </c>
      <c r="B54" s="17" t="n">
        <v>2266</v>
      </c>
      <c r="C54" s="18">
        <f>(1891.0/B54*100)</f>
        <v/>
      </c>
      <c r="D54" s="19" t="n">
        <v>375</v>
      </c>
      <c r="E54" s="18" t="n">
        <v>72.56129186</v>
      </c>
      <c r="F54" s="20" t="n">
        <v>2.92199338</v>
      </c>
      <c r="G54" s="18" t="n">
        <v>14.84320397</v>
      </c>
      <c r="H54" s="20" t="n">
        <v>2.1288029</v>
      </c>
      <c r="I54" s="18" t="s">
        <v>349</v>
      </c>
      <c r="J54" s="20" t="s">
        <v>349</v>
      </c>
      <c r="K54" s="18" t="n">
        <v>10.25658053</v>
      </c>
      <c r="L54" s="20" t="n">
        <v>2.05708024</v>
      </c>
      <c r="M54" s="18" t="n">
        <v>0</v>
      </c>
      <c r="N54" s="20" t="n">
        <v>0</v>
      </c>
      <c r="O54" s="18" t="n">
        <v>0</v>
      </c>
      <c r="P54" s="20" t="n">
        <v>0</v>
      </c>
      <c r="Q54" s="18" t="n">
        <v>2.33892364</v>
      </c>
      <c r="R54" s="20" t="n">
        <v>0.83747528</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36.56896827</v>
      </c>
      <c r="F56" s="20" t="n">
        <v>2.95915988</v>
      </c>
      <c r="G56" s="18" t="n">
        <v>63.15467935</v>
      </c>
      <c r="H56" s="20" t="n">
        <v>2.94174834</v>
      </c>
      <c r="I56" s="18" t="s">
        <v>349</v>
      </c>
      <c r="J56" s="20" t="s">
        <v>349</v>
      </c>
      <c r="K56" s="18" t="n">
        <v>0</v>
      </c>
      <c r="L56" s="20" t="n">
        <v>0</v>
      </c>
      <c r="M56" s="18" t="n">
        <v>0</v>
      </c>
      <c r="N56" s="20" t="n">
        <v>0</v>
      </c>
      <c r="O56" s="18" t="n">
        <v>0</v>
      </c>
      <c r="P56" s="20" t="n">
        <v>0</v>
      </c>
      <c r="Q56" s="18" t="n">
        <v>0.27635237</v>
      </c>
      <c r="R56" s="20" t="n">
        <v>0.27657216</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(2924.0/B61*100)</f>
        <v/>
      </c>
      <c r="D61" s="19" t="n">
        <v>400</v>
      </c>
      <c r="E61" s="18" t="n">
        <v>59.8805834</v>
      </c>
      <c r="F61" s="20" t="n">
        <v>2.94610281</v>
      </c>
      <c r="G61" s="18" t="n">
        <v>38.5789972</v>
      </c>
      <c r="H61" s="20" t="n">
        <v>3.01460509</v>
      </c>
      <c r="I61" s="18" t="s">
        <v>349</v>
      </c>
      <c r="J61" s="20" t="s">
        <v>349</v>
      </c>
      <c r="K61" s="18" t="n">
        <v>0.37684167</v>
      </c>
      <c r="L61" s="20" t="n">
        <v>0.31326856</v>
      </c>
      <c r="M61" s="18" t="n">
        <v>0</v>
      </c>
      <c r="N61" s="20" t="n">
        <v>0</v>
      </c>
      <c r="O61" s="18" t="n">
        <v>0</v>
      </c>
      <c r="P61" s="20" t="n">
        <v>0</v>
      </c>
      <c r="Q61" s="18" t="n">
        <v>1.16357773</v>
      </c>
      <c r="R61" s="20" t="n">
        <v>0.59162119</v>
      </c>
    </row>
    <row r="62" spans="1:18">
      <c r="A62" s="15" t="s">
        <v>404</v>
      </c>
      <c r="B62" s="17" t="n">
        <v>2246</v>
      </c>
      <c r="C62" s="18">
        <f>(1958.0/B62*100)</f>
        <v/>
      </c>
      <c r="D62" s="19" t="n">
        <v>288</v>
      </c>
      <c r="E62" s="18" t="n">
        <v>60.67612337</v>
      </c>
      <c r="F62" s="20" t="n">
        <v>2.73905032</v>
      </c>
      <c r="G62" s="18" t="n">
        <v>38.97023975</v>
      </c>
      <c r="H62" s="20" t="n">
        <v>2.66580183</v>
      </c>
      <c r="I62" s="18" t="s">
        <v>349</v>
      </c>
      <c r="J62" s="20" t="s">
        <v>349</v>
      </c>
      <c r="K62" s="18" t="n">
        <v>0</v>
      </c>
      <c r="L62" s="20" t="n">
        <v>0</v>
      </c>
      <c r="M62" s="18" t="n">
        <v>0</v>
      </c>
      <c r="N62" s="20" t="n">
        <v>0</v>
      </c>
      <c r="O62" s="18" t="n">
        <v>0</v>
      </c>
      <c r="P62" s="20" t="n">
        <v>0</v>
      </c>
      <c r="Q62" s="18" t="n">
        <v>0.35363689</v>
      </c>
      <c r="R62" s="20" t="n">
        <v>0.3537633</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(2540.0/B66*100)</f>
        <v/>
      </c>
      <c r="D66" s="19" t="n">
        <v>354</v>
      </c>
      <c r="E66" s="18" t="n">
        <v>69.88454639</v>
      </c>
      <c r="F66" s="20" t="n">
        <v>2.37509684</v>
      </c>
      <c r="G66" s="18" t="n">
        <v>23.84731623</v>
      </c>
      <c r="H66" s="20" t="n">
        <v>2.21383636</v>
      </c>
      <c r="I66" s="18" t="s">
        <v>349</v>
      </c>
      <c r="J66" s="20" t="s">
        <v>349</v>
      </c>
      <c r="K66" s="18" t="n">
        <v>0.82556474</v>
      </c>
      <c r="L66" s="20" t="n">
        <v>0.47610347</v>
      </c>
      <c r="M66" s="18" t="n">
        <v>0</v>
      </c>
      <c r="N66" s="20" t="n">
        <v>0</v>
      </c>
      <c r="O66" s="18" t="n">
        <v>0</v>
      </c>
      <c r="P66" s="20" t="n">
        <v>0</v>
      </c>
      <c r="Q66" s="18" t="n">
        <v>5.44257264</v>
      </c>
      <c r="R66" s="20" t="n">
        <v>1.0482888</v>
      </c>
    </row>
    <row r="67" spans="1:18">
      <c r="A67" s="15" t="s">
        <v>409</v>
      </c>
      <c r="B67" s="17" t="n">
        <v>3511</v>
      </c>
      <c r="C67" s="18">
        <f>(3121.0/B67*100)</f>
        <v/>
      </c>
      <c r="D67" s="19" t="n">
        <v>390</v>
      </c>
      <c r="E67" s="18" t="n">
        <v>82.74816357</v>
      </c>
      <c r="F67" s="20" t="n">
        <v>2.35424858</v>
      </c>
      <c r="G67" s="18" t="n">
        <v>15.987851</v>
      </c>
      <c r="H67" s="20" t="n">
        <v>2.32703033</v>
      </c>
      <c r="I67" s="18" t="s">
        <v>349</v>
      </c>
      <c r="J67" s="20" t="s">
        <v>349</v>
      </c>
      <c r="K67" s="18" t="n">
        <v>0</v>
      </c>
      <c r="L67" s="20" t="n">
        <v>0</v>
      </c>
      <c r="M67" s="18" t="n">
        <v>0</v>
      </c>
      <c r="N67" s="20" t="n">
        <v>0</v>
      </c>
      <c r="O67" s="18" t="n">
        <v>0</v>
      </c>
      <c r="P67" s="20" t="n">
        <v>0</v>
      </c>
      <c r="Q67" s="18" t="n">
        <v>1.26398544</v>
      </c>
      <c r="R67" s="20" t="n">
        <v>0.56921643</v>
      </c>
    </row>
    <row r="68" spans="1:18">
      <c r="A68" s="15" t="s">
        <v>410</v>
      </c>
      <c r="B68" s="17" t="n">
        <v>6049</v>
      </c>
      <c r="C68" s="18">
        <f>(5034.0/B68*100)</f>
        <v/>
      </c>
      <c r="D68" s="19" t="n">
        <v>1015</v>
      </c>
      <c r="E68" s="18" t="n">
        <v>62.15713189</v>
      </c>
      <c r="F68" s="20" t="n">
        <v>1.62628306</v>
      </c>
      <c r="G68" s="18" t="n">
        <v>33.2748168</v>
      </c>
      <c r="H68" s="20" t="n">
        <v>1.59204836</v>
      </c>
      <c r="I68" s="18" t="s">
        <v>349</v>
      </c>
      <c r="J68" s="20" t="s">
        <v>349</v>
      </c>
      <c r="K68" s="18" t="n">
        <v>2.32909964</v>
      </c>
      <c r="L68" s="20" t="n">
        <v>0.46840613</v>
      </c>
      <c r="M68" s="18" t="n">
        <v>0</v>
      </c>
      <c r="N68" s="20" t="n">
        <v>0</v>
      </c>
      <c r="O68" s="18" t="n">
        <v>0</v>
      </c>
      <c r="P68" s="20" t="n">
        <v>0</v>
      </c>
      <c r="Q68" s="18" t="n">
        <v>2.23895167</v>
      </c>
      <c r="R68" s="20" t="n">
        <v>0.46273442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(2579.0/B70*100)</f>
        <v/>
      </c>
      <c r="D70" s="19" t="n">
        <v>350</v>
      </c>
      <c r="E70" s="18" t="n">
        <v>66.11033629000001</v>
      </c>
      <c r="F70" s="20" t="n">
        <v>2.22751858</v>
      </c>
      <c r="G70" s="18" t="n">
        <v>33.17583014</v>
      </c>
      <c r="H70" s="20" t="n">
        <v>2.21737855</v>
      </c>
      <c r="I70" s="18" t="s">
        <v>349</v>
      </c>
      <c r="J70" s="20" t="s">
        <v>349</v>
      </c>
      <c r="K70" s="18" t="n">
        <v>0</v>
      </c>
      <c r="L70" s="20" t="n">
        <v>0</v>
      </c>
      <c r="M70" s="18" t="n">
        <v>0</v>
      </c>
      <c r="N70" s="20" t="n">
        <v>0</v>
      </c>
      <c r="O70" s="18" t="n">
        <v>0</v>
      </c>
      <c r="P70" s="20" t="n">
        <v>0</v>
      </c>
      <c r="Q70" s="18" t="n">
        <v>0.71383357</v>
      </c>
      <c r="R70" s="20" t="n">
        <v>0.39565884</v>
      </c>
    </row>
    <row r="71" spans="1:18">
      <c r="A71" s="15" t="s">
        <v>413</v>
      </c>
      <c r="B71" s="17" t="n">
        <v>3142</v>
      </c>
      <c r="C71" s="18">
        <f>(2755.0/B71*100)</f>
        <v/>
      </c>
      <c r="D71" s="19" t="n">
        <v>387</v>
      </c>
      <c r="E71" s="18" t="n">
        <v>37.66739379</v>
      </c>
      <c r="F71" s="20" t="n">
        <v>2.54365856</v>
      </c>
      <c r="G71" s="18" t="n">
        <v>60.44728305</v>
      </c>
      <c r="H71" s="20" t="n">
        <v>2.46288595</v>
      </c>
      <c r="I71" s="18" t="s">
        <v>349</v>
      </c>
      <c r="J71" s="20" t="s">
        <v>349</v>
      </c>
      <c r="K71" s="18" t="n">
        <v>0.5102401600000001</v>
      </c>
      <c r="L71" s="20" t="n">
        <v>0.34815741</v>
      </c>
      <c r="M71" s="18" t="n">
        <v>0</v>
      </c>
      <c r="N71" s="20" t="n">
        <v>0</v>
      </c>
      <c r="O71" s="18" t="n">
        <v>0</v>
      </c>
      <c r="P71" s="20" t="n">
        <v>0</v>
      </c>
      <c r="Q71" s="18" t="n">
        <v>1.375083</v>
      </c>
      <c r="R71" s="20" t="n">
        <v>0.54062521</v>
      </c>
    </row>
    <row r="72" spans="1:18">
      <c r="A72" s="15" t="s">
        <v>414</v>
      </c>
      <c r="B72" s="17" t="n">
        <v>3889</v>
      </c>
      <c r="C72" s="18">
        <f>(3408.0/B72*100)</f>
        <v/>
      </c>
      <c r="D72" s="19" t="n">
        <v>481</v>
      </c>
      <c r="E72" s="18" t="n">
        <v>37.91351969</v>
      </c>
      <c r="F72" s="20" t="n">
        <v>2.09432858</v>
      </c>
      <c r="G72" s="18" t="n">
        <v>61.74036433</v>
      </c>
      <c r="H72" s="20" t="n">
        <v>2.1054439</v>
      </c>
      <c r="I72" s="18" t="s">
        <v>349</v>
      </c>
      <c r="J72" s="20" t="s">
        <v>349</v>
      </c>
      <c r="K72" s="18" t="n">
        <v>0.14151252</v>
      </c>
      <c r="L72" s="20" t="n">
        <v>0.1412392</v>
      </c>
      <c r="M72" s="18" t="n">
        <v>0</v>
      </c>
      <c r="N72" s="20" t="n">
        <v>0</v>
      </c>
      <c r="O72" s="18" t="n">
        <v>0</v>
      </c>
      <c r="P72" s="20" t="n">
        <v>0</v>
      </c>
      <c r="Q72" s="18" t="n">
        <v>0.20460346</v>
      </c>
      <c r="R72" s="20" t="n">
        <v>0.20433665</v>
      </c>
    </row>
    <row r="73" spans="1:18">
      <c r="A73" s="15" t="s">
        <v>415</v>
      </c>
      <c r="B73" s="17" t="n">
        <v>3597</v>
      </c>
      <c r="C73" s="18">
        <f>(3168.0/B73*100)</f>
        <v/>
      </c>
      <c r="D73" s="19" t="n">
        <v>429</v>
      </c>
      <c r="E73" s="18" t="n">
        <v>69.84402759</v>
      </c>
      <c r="F73" s="20" t="n">
        <v>3.24313317</v>
      </c>
      <c r="G73" s="18" t="n">
        <v>29.34637809</v>
      </c>
      <c r="H73" s="20" t="n">
        <v>3.24797527</v>
      </c>
      <c r="I73" s="18" t="s">
        <v>349</v>
      </c>
      <c r="J73" s="20" t="s">
        <v>349</v>
      </c>
      <c r="K73" s="18" t="n">
        <v>0</v>
      </c>
      <c r="L73" s="20" t="n">
        <v>0</v>
      </c>
      <c r="M73" s="18" t="n">
        <v>0</v>
      </c>
      <c r="N73" s="20" t="n">
        <v>0</v>
      </c>
      <c r="O73" s="18" t="n">
        <v>0</v>
      </c>
      <c r="P73" s="20" t="n">
        <v>0</v>
      </c>
      <c r="Q73" s="18" t="n">
        <v>0.80959433</v>
      </c>
      <c r="R73" s="20" t="n">
        <v>0.4548612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(2116.0/B75*100)</f>
        <v/>
      </c>
      <c r="D75" s="19" t="n">
        <v>290</v>
      </c>
      <c r="E75" s="18" t="n">
        <v>74.12890191</v>
      </c>
      <c r="F75" s="20" t="n">
        <v>2.71144281</v>
      </c>
      <c r="G75" s="18" t="n">
        <v>23.53589058</v>
      </c>
      <c r="H75" s="20" t="n">
        <v>2.61605533</v>
      </c>
      <c r="I75" s="18" t="s">
        <v>349</v>
      </c>
      <c r="J75" s="20" t="s">
        <v>349</v>
      </c>
      <c r="K75" s="18" t="n">
        <v>0.73612305</v>
      </c>
      <c r="L75" s="20" t="n">
        <v>0.48328097</v>
      </c>
      <c r="M75" s="18" t="n">
        <v>0</v>
      </c>
      <c r="N75" s="20" t="n">
        <v>0</v>
      </c>
      <c r="O75" s="18" t="n">
        <v>0</v>
      </c>
      <c r="P75" s="20" t="n">
        <v>0</v>
      </c>
      <c r="Q75" s="18" t="n">
        <v>1.59908445</v>
      </c>
      <c r="R75" s="20" t="n">
        <v>0.79538859</v>
      </c>
    </row>
    <row r="76" spans="1:18">
      <c r="A76" s="15" t="s">
        <v>418</v>
      </c>
      <c r="B76" s="17" t="n">
        <v>7052</v>
      </c>
      <c r="C76" s="18">
        <f>(6196.0/B76*100)</f>
        <v/>
      </c>
      <c r="D76" s="19" t="n">
        <v>856</v>
      </c>
      <c r="E76" s="18" t="n">
        <v>61.41983651</v>
      </c>
      <c r="F76" s="20" t="n">
        <v>2.18736888</v>
      </c>
      <c r="G76" s="18" t="n">
        <v>35.12932304</v>
      </c>
      <c r="H76" s="20" t="n">
        <v>2.19059548</v>
      </c>
      <c r="I76" s="18" t="s">
        <v>349</v>
      </c>
      <c r="J76" s="20" t="s">
        <v>349</v>
      </c>
      <c r="K76" s="18" t="n">
        <v>1.23405066</v>
      </c>
      <c r="L76" s="20" t="n">
        <v>0.40267629</v>
      </c>
      <c r="M76" s="18" t="n">
        <v>0</v>
      </c>
      <c r="N76" s="20" t="n">
        <v>0</v>
      </c>
      <c r="O76" s="18" t="n">
        <v>0</v>
      </c>
      <c r="P76" s="20" t="n">
        <v>0</v>
      </c>
      <c r="Q76" s="18" t="n">
        <v>2.21678979</v>
      </c>
      <c r="R76" s="20" t="n">
        <v>0.77103339</v>
      </c>
    </row>
    <row r="77" spans="1:18">
      <c r="A77" s="15" t="s">
        <v>419</v>
      </c>
      <c r="B77" s="17" t="n">
        <v>2908</v>
      </c>
      <c r="C77" s="18">
        <f>(2541.0/B77*100)</f>
        <v/>
      </c>
      <c r="D77" s="19" t="n">
        <v>367</v>
      </c>
      <c r="E77" s="18" t="n">
        <v>71.94424454999999</v>
      </c>
      <c r="F77" s="20" t="n">
        <v>2.52134232</v>
      </c>
      <c r="G77" s="18" t="n">
        <v>23.24148508</v>
      </c>
      <c r="H77" s="20" t="n">
        <v>2.32217486</v>
      </c>
      <c r="I77" s="18" t="s">
        <v>349</v>
      </c>
      <c r="J77" s="20" t="s">
        <v>349</v>
      </c>
      <c r="K77" s="18" t="n">
        <v>2.52566139</v>
      </c>
      <c r="L77" s="20" t="n">
        <v>0.90762107</v>
      </c>
      <c r="M77" s="18" t="n">
        <v>0</v>
      </c>
      <c r="N77" s="20" t="n">
        <v>0</v>
      </c>
      <c r="O77" s="18" t="n">
        <v>0</v>
      </c>
      <c r="P77" s="20" t="n">
        <v>0</v>
      </c>
      <c r="Q77" s="18" t="n">
        <v>2.28860898</v>
      </c>
      <c r="R77" s="20" t="n">
        <v>0.707985</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(3654.0/B81*100)</f>
        <v/>
      </c>
      <c r="D81" s="19" t="n">
        <v>509</v>
      </c>
      <c r="E81" s="18" t="n">
        <v>73.06072492</v>
      </c>
      <c r="F81" s="20" t="n">
        <v>2.57859111</v>
      </c>
      <c r="G81" s="18" t="n">
        <v>26.62485566</v>
      </c>
      <c r="H81" s="20" t="n">
        <v>2.58044474</v>
      </c>
      <c r="I81" s="18" t="s">
        <v>349</v>
      </c>
      <c r="J81" s="20" t="s">
        <v>349</v>
      </c>
      <c r="K81" s="18" t="n">
        <v>0.31441941</v>
      </c>
      <c r="L81" s="20" t="n">
        <v>0.22086562</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(6492.0/B7*100)</f>
        <v/>
      </c>
      <c r="D7" s="19" t="n">
        <v>875</v>
      </c>
      <c r="E7" s="18" t="n">
        <v>20.19444701</v>
      </c>
      <c r="F7" s="20" t="n">
        <v>1.64769307</v>
      </c>
      <c r="G7" s="18" t="n">
        <v>72.67120093</v>
      </c>
      <c r="H7" s="20" t="n">
        <v>1.73302134</v>
      </c>
      <c r="I7" s="18" t="s">
        <v>349</v>
      </c>
      <c r="J7" s="20" t="s">
        <v>349</v>
      </c>
      <c r="K7" s="18" t="n">
        <v>0.68960995</v>
      </c>
      <c r="L7" s="20" t="n">
        <v>0.31632691</v>
      </c>
      <c r="M7" s="18" t="n">
        <v>0</v>
      </c>
      <c r="N7" s="20" t="n">
        <v>0</v>
      </c>
      <c r="O7" s="18" t="n">
        <v>0</v>
      </c>
      <c r="P7" s="20" t="n">
        <v>0</v>
      </c>
      <c r="Q7" s="18" t="n">
        <v>6.44474212</v>
      </c>
      <c r="R7" s="20" t="n">
        <v>0.99609276</v>
      </c>
    </row>
    <row r="8" spans="1:18">
      <c r="A8" s="15" t="s">
        <v>350</v>
      </c>
      <c r="B8" s="17" t="n">
        <v>3564</v>
      </c>
      <c r="C8" s="18">
        <f>(3094.0/B8*100)</f>
        <v/>
      </c>
      <c r="D8" s="19" t="n">
        <v>470</v>
      </c>
      <c r="E8" s="18" t="n">
        <v>27.36239839</v>
      </c>
      <c r="F8" s="20" t="n">
        <v>2.67831739</v>
      </c>
      <c r="G8" s="18" t="n">
        <v>65.49556959</v>
      </c>
      <c r="H8" s="20" t="n">
        <v>3.07057643</v>
      </c>
      <c r="I8" s="18" t="s">
        <v>349</v>
      </c>
      <c r="J8" s="20" t="s">
        <v>349</v>
      </c>
      <c r="K8" s="18" t="n">
        <v>1.87767954</v>
      </c>
      <c r="L8" s="20" t="n">
        <v>1.21318536</v>
      </c>
      <c r="M8" s="18" t="n">
        <v>0</v>
      </c>
      <c r="N8" s="20" t="n">
        <v>0</v>
      </c>
      <c r="O8" s="18" t="n">
        <v>0</v>
      </c>
      <c r="P8" s="20" t="n">
        <v>0</v>
      </c>
      <c r="Q8" s="18" t="n">
        <v>5.26435248</v>
      </c>
      <c r="R8" s="20" t="n">
        <v>1.0943751</v>
      </c>
    </row>
    <row r="9" spans="1:18">
      <c r="A9" s="15" t="s">
        <v>351</v>
      </c>
      <c r="B9" s="17" t="n">
        <v>4899</v>
      </c>
      <c r="C9" s="18">
        <f>(4159.0/B9*100)</f>
        <v/>
      </c>
      <c r="D9" s="19" t="n">
        <v>740</v>
      </c>
      <c r="E9" s="18" t="n">
        <v>25.44002579</v>
      </c>
      <c r="F9" s="20" t="n">
        <v>1.89017928</v>
      </c>
      <c r="G9" s="18" t="n">
        <v>63.98355414</v>
      </c>
      <c r="H9" s="20" t="n">
        <v>2.70532332</v>
      </c>
      <c r="I9" s="18" t="s">
        <v>349</v>
      </c>
      <c r="J9" s="20" t="s">
        <v>349</v>
      </c>
      <c r="K9" s="18" t="n">
        <v>7.0378459</v>
      </c>
      <c r="L9" s="20" t="n">
        <v>1.53094177</v>
      </c>
      <c r="M9" s="18" t="n">
        <v>0</v>
      </c>
      <c r="N9" s="20" t="n">
        <v>0</v>
      </c>
      <c r="O9" s="18" t="n">
        <v>0</v>
      </c>
      <c r="P9" s="20" t="n">
        <v>0</v>
      </c>
      <c r="Q9" s="18" t="n">
        <v>3.53857417</v>
      </c>
      <c r="R9" s="20" t="n">
        <v>0.79563804</v>
      </c>
    </row>
    <row r="10" spans="1:18">
      <c r="A10" s="15" t="s">
        <v>352</v>
      </c>
      <c r="B10" s="17" t="n">
        <v>10036</v>
      </c>
      <c r="C10" s="18">
        <f>(8812.0/B10*100)</f>
        <v/>
      </c>
      <c r="D10" s="19" t="n">
        <v>1224</v>
      </c>
      <c r="E10" s="18" t="n">
        <v>20.73336684</v>
      </c>
      <c r="F10" s="20" t="n">
        <v>1.59808723</v>
      </c>
      <c r="G10" s="18" t="n">
        <v>75.61673218999999</v>
      </c>
      <c r="H10" s="20" t="n">
        <v>1.73580808</v>
      </c>
      <c r="I10" s="18" t="s">
        <v>349</v>
      </c>
      <c r="J10" s="20" t="s">
        <v>349</v>
      </c>
      <c r="K10" s="18" t="n">
        <v>0.93466572</v>
      </c>
      <c r="L10" s="20" t="n">
        <v>0.40276713</v>
      </c>
      <c r="M10" s="18" t="n">
        <v>0</v>
      </c>
      <c r="N10" s="20" t="n">
        <v>0</v>
      </c>
      <c r="O10" s="18" t="n">
        <v>0</v>
      </c>
      <c r="P10" s="20" t="n">
        <v>0</v>
      </c>
      <c r="Q10" s="18" t="n">
        <v>2.71523525</v>
      </c>
      <c r="R10" s="20" t="n">
        <v>0.5403149</v>
      </c>
    </row>
    <row r="11" spans="1:18">
      <c r="A11" s="15" t="s">
        <v>353</v>
      </c>
      <c r="B11" s="17" t="n">
        <v>3553</v>
      </c>
      <c r="C11" s="18">
        <f>(3109.0/B11*100)</f>
        <v/>
      </c>
      <c r="D11" s="19" t="n">
        <v>444</v>
      </c>
      <c r="E11" s="18" t="n">
        <v>39.85942806</v>
      </c>
      <c r="F11" s="20" t="n">
        <v>2.74947805</v>
      </c>
      <c r="G11" s="18" t="n">
        <v>45.6990168</v>
      </c>
      <c r="H11" s="20" t="n">
        <v>3.22813438</v>
      </c>
      <c r="I11" s="18" t="s">
        <v>349</v>
      </c>
      <c r="J11" s="20" t="s">
        <v>349</v>
      </c>
      <c r="K11" s="18" t="n">
        <v>1.80914357</v>
      </c>
      <c r="L11" s="20" t="n">
        <v>0.7544141599999999</v>
      </c>
      <c r="M11" s="18" t="n">
        <v>0</v>
      </c>
      <c r="N11" s="20" t="n">
        <v>0</v>
      </c>
      <c r="O11" s="18" t="n">
        <v>0</v>
      </c>
      <c r="P11" s="20" t="n">
        <v>0</v>
      </c>
      <c r="Q11" s="18" t="n">
        <v>12.63241157</v>
      </c>
      <c r="R11" s="20" t="n">
        <v>1.91640814</v>
      </c>
    </row>
    <row r="12" spans="1:18">
      <c r="A12" s="15" t="s">
        <v>354</v>
      </c>
      <c r="B12" s="17" t="n">
        <v>3472</v>
      </c>
      <c r="C12" s="18">
        <f>(3001.0/B12*100)</f>
        <v/>
      </c>
      <c r="D12" s="19" t="n">
        <v>471</v>
      </c>
      <c r="E12" s="18" t="n">
        <v>26.60156792</v>
      </c>
      <c r="F12" s="20" t="n">
        <v>2.95277319</v>
      </c>
      <c r="G12" s="18" t="n">
        <v>60.29086769</v>
      </c>
      <c r="H12" s="20" t="n">
        <v>4.41316075</v>
      </c>
      <c r="I12" s="18" t="s">
        <v>349</v>
      </c>
      <c r="J12" s="20" t="s">
        <v>349</v>
      </c>
      <c r="K12" s="18" t="n">
        <v>6.66905645</v>
      </c>
      <c r="L12" s="20" t="n">
        <v>3.02706253</v>
      </c>
      <c r="M12" s="18" t="n">
        <v>0</v>
      </c>
      <c r="N12" s="20" t="n">
        <v>0</v>
      </c>
      <c r="O12" s="18" t="n">
        <v>0</v>
      </c>
      <c r="P12" s="20" t="n">
        <v>0</v>
      </c>
      <c r="Q12" s="18" t="n">
        <v>6.43850794</v>
      </c>
      <c r="R12" s="20" t="n">
        <v>1.30181807</v>
      </c>
    </row>
    <row r="13" spans="1:18">
      <c r="A13" s="15" t="s">
        <v>355</v>
      </c>
      <c r="B13" s="17" t="n">
        <v>3559</v>
      </c>
      <c r="C13" s="18">
        <f>(2941.0/B13*100)</f>
        <v/>
      </c>
      <c r="D13" s="19" t="n">
        <v>618</v>
      </c>
      <c r="E13" s="18" t="n">
        <v>23.3410146</v>
      </c>
      <c r="F13" s="20" t="n">
        <v>2.06685107</v>
      </c>
      <c r="G13" s="18" t="n">
        <v>71.22915723</v>
      </c>
      <c r="H13" s="20" t="n">
        <v>2.26760373</v>
      </c>
      <c r="I13" s="18" t="s">
        <v>349</v>
      </c>
      <c r="J13" s="20" t="s">
        <v>349</v>
      </c>
      <c r="K13" s="18" t="n">
        <v>3.50769426</v>
      </c>
      <c r="L13" s="20" t="n">
        <v>0.8618881900000001</v>
      </c>
      <c r="M13" s="18" t="n">
        <v>0</v>
      </c>
      <c r="N13" s="20" t="n">
        <v>0</v>
      </c>
      <c r="O13" s="18" t="n">
        <v>0</v>
      </c>
      <c r="P13" s="20" t="n">
        <v>0</v>
      </c>
      <c r="Q13" s="18" t="n">
        <v>1.92213392</v>
      </c>
      <c r="R13" s="20" t="n">
        <v>0.82554936</v>
      </c>
    </row>
    <row r="14" spans="1:18">
      <c r="A14" s="15" t="s">
        <v>356</v>
      </c>
      <c r="B14" s="17" t="n">
        <v>2799</v>
      </c>
      <c r="C14" s="18">
        <f>(2472.0/B14*100)</f>
        <v/>
      </c>
      <c r="D14" s="19" t="n">
        <v>327</v>
      </c>
      <c r="E14" s="18" t="n">
        <v>14.90517311</v>
      </c>
      <c r="F14" s="20" t="n">
        <v>2.07701112</v>
      </c>
      <c r="G14" s="18" t="n">
        <v>82.56458762</v>
      </c>
      <c r="H14" s="20" t="n">
        <v>2.45587942</v>
      </c>
      <c r="I14" s="18" t="s">
        <v>349</v>
      </c>
      <c r="J14" s="20" t="s">
        <v>349</v>
      </c>
      <c r="K14" s="18" t="n">
        <v>0.43673534</v>
      </c>
      <c r="L14" s="20" t="n">
        <v>0.31421278</v>
      </c>
      <c r="M14" s="18" t="n">
        <v>0</v>
      </c>
      <c r="N14" s="20" t="n">
        <v>0</v>
      </c>
      <c r="O14" s="18" t="n">
        <v>0</v>
      </c>
      <c r="P14" s="20" t="n">
        <v>0</v>
      </c>
      <c r="Q14" s="18" t="n">
        <v>2.09350393</v>
      </c>
      <c r="R14" s="20" t="n">
        <v>1.0483247</v>
      </c>
    </row>
    <row r="15" spans="1:18">
      <c r="A15" s="15" t="s">
        <v>357</v>
      </c>
      <c r="B15" s="17" t="n">
        <v>3019</v>
      </c>
      <c r="C15" s="18">
        <f>(2626.0/B15*100)</f>
        <v/>
      </c>
      <c r="D15" s="19" t="n">
        <v>393</v>
      </c>
      <c r="E15" s="18" t="n">
        <v>22.59541422</v>
      </c>
      <c r="F15" s="20" t="n">
        <v>2.55786623</v>
      </c>
      <c r="G15" s="18" t="n">
        <v>68.69204935</v>
      </c>
      <c r="H15" s="20" t="n">
        <v>3.55583779</v>
      </c>
      <c r="I15" s="18" t="s">
        <v>349</v>
      </c>
      <c r="J15" s="20" t="s">
        <v>349</v>
      </c>
      <c r="K15" s="18" t="n">
        <v>3.38350058</v>
      </c>
      <c r="L15" s="20" t="n">
        <v>2.37153282</v>
      </c>
      <c r="M15" s="18" t="n">
        <v>0</v>
      </c>
      <c r="N15" s="20" t="n">
        <v>0</v>
      </c>
      <c r="O15" s="18" t="n">
        <v>0</v>
      </c>
      <c r="P15" s="20" t="n">
        <v>0</v>
      </c>
      <c r="Q15" s="18" t="n">
        <v>5.32903584</v>
      </c>
      <c r="R15" s="20" t="n">
        <v>1.19924433</v>
      </c>
    </row>
    <row r="16" spans="1:18">
      <c r="A16" s="15" t="s">
        <v>358</v>
      </c>
      <c r="B16" s="17" t="n">
        <v>2997</v>
      </c>
      <c r="C16" s="18">
        <f>(2619.0/B16*100)</f>
        <v/>
      </c>
      <c r="D16" s="19" t="n">
        <v>378</v>
      </c>
      <c r="E16" s="18" t="n">
        <v>16.50254063</v>
      </c>
      <c r="F16" s="20" t="n">
        <v>1.86057154</v>
      </c>
      <c r="G16" s="18" t="n">
        <v>73.60722496</v>
      </c>
      <c r="H16" s="20" t="n">
        <v>2.193984</v>
      </c>
      <c r="I16" s="18" t="s">
        <v>349</v>
      </c>
      <c r="J16" s="20" t="s">
        <v>349</v>
      </c>
      <c r="K16" s="18" t="n">
        <v>0.88333641</v>
      </c>
      <c r="L16" s="20" t="n">
        <v>0.58975806</v>
      </c>
      <c r="M16" s="18" t="n">
        <v>0</v>
      </c>
      <c r="N16" s="20" t="n">
        <v>0</v>
      </c>
      <c r="O16" s="18" t="n">
        <v>0</v>
      </c>
      <c r="P16" s="20" t="n">
        <v>0</v>
      </c>
      <c r="Q16" s="18" t="n">
        <v>9.006898</v>
      </c>
      <c r="R16" s="20" t="n">
        <v>1.60701763</v>
      </c>
    </row>
    <row r="17" spans="1:18">
      <c r="A17" s="15" t="s">
        <v>359</v>
      </c>
      <c r="B17" s="17" t="n">
        <v>3307</v>
      </c>
      <c r="C17" s="18">
        <f>(2804.0/B17*100)</f>
        <v/>
      </c>
      <c r="D17" s="19" t="n">
        <v>503</v>
      </c>
      <c r="E17" s="18" t="n">
        <v>19.86422892</v>
      </c>
      <c r="F17" s="20" t="n">
        <v>1.90511758</v>
      </c>
      <c r="G17" s="18" t="n">
        <v>66.74320108000001</v>
      </c>
      <c r="H17" s="20" t="n">
        <v>2.94312561</v>
      </c>
      <c r="I17" s="18" t="s">
        <v>349</v>
      </c>
      <c r="J17" s="20" t="s">
        <v>349</v>
      </c>
      <c r="K17" s="18" t="n">
        <v>10.27156157</v>
      </c>
      <c r="L17" s="20" t="n">
        <v>2.95802783</v>
      </c>
      <c r="M17" s="18" t="n">
        <v>0</v>
      </c>
      <c r="N17" s="20" t="n">
        <v>0</v>
      </c>
      <c r="O17" s="18" t="n">
        <v>0</v>
      </c>
      <c r="P17" s="20" t="n">
        <v>0</v>
      </c>
      <c r="Q17" s="18" t="n">
        <v>3.12100843</v>
      </c>
      <c r="R17" s="20" t="n">
        <v>0.77204998</v>
      </c>
    </row>
    <row r="18" spans="1:18">
      <c r="A18" s="15" t="s">
        <v>360</v>
      </c>
      <c r="B18" s="17" t="n">
        <v>2826</v>
      </c>
      <c r="C18" s="18">
        <f>(2482.0/B18*100)</f>
        <v/>
      </c>
      <c r="D18" s="19" t="n">
        <v>344</v>
      </c>
      <c r="E18" s="18" t="n">
        <v>36.08182193</v>
      </c>
      <c r="F18" s="20" t="n">
        <v>3.0010973</v>
      </c>
      <c r="G18" s="18" t="n">
        <v>55.53758214</v>
      </c>
      <c r="H18" s="20" t="n">
        <v>2.79223069</v>
      </c>
      <c r="I18" s="18" t="s">
        <v>349</v>
      </c>
      <c r="J18" s="20" t="s">
        <v>349</v>
      </c>
      <c r="K18" s="18" t="n">
        <v>1.40938931</v>
      </c>
      <c r="L18" s="20" t="n">
        <v>0.97259057</v>
      </c>
      <c r="M18" s="18" t="n">
        <v>0</v>
      </c>
      <c r="N18" s="20" t="n">
        <v>0</v>
      </c>
      <c r="O18" s="18" t="n">
        <v>0</v>
      </c>
      <c r="P18" s="20" t="n">
        <v>0</v>
      </c>
      <c r="Q18" s="18" t="n">
        <v>6.97120662</v>
      </c>
      <c r="R18" s="20" t="n">
        <v>1.78239215</v>
      </c>
    </row>
    <row r="19" spans="1:18">
      <c r="A19" s="15" t="s">
        <v>361</v>
      </c>
      <c r="B19" s="17" t="n">
        <v>2808</v>
      </c>
      <c r="C19" s="18">
        <f>(2468.0/B19*100)</f>
        <v/>
      </c>
      <c r="D19" s="19" t="n">
        <v>340</v>
      </c>
      <c r="E19" s="18" t="n">
        <v>29.11771127</v>
      </c>
      <c r="F19" s="20" t="n">
        <v>2.40445339</v>
      </c>
      <c r="G19" s="18" t="n">
        <v>66.32942138</v>
      </c>
      <c r="H19" s="20" t="n">
        <v>2.48820994</v>
      </c>
      <c r="I19" s="18" t="s">
        <v>349</v>
      </c>
      <c r="J19" s="20" t="s">
        <v>349</v>
      </c>
      <c r="K19" s="18" t="n">
        <v>0.230073</v>
      </c>
      <c r="L19" s="20" t="n">
        <v>0.23403188</v>
      </c>
      <c r="M19" s="18" t="n">
        <v>0</v>
      </c>
      <c r="N19" s="20" t="n">
        <v>0</v>
      </c>
      <c r="O19" s="18" t="n">
        <v>0</v>
      </c>
      <c r="P19" s="20" t="n">
        <v>0</v>
      </c>
      <c r="Q19" s="18" t="n">
        <v>4.32279435</v>
      </c>
      <c r="R19" s="20" t="n">
        <v>1.29338615</v>
      </c>
    </row>
    <row r="20" spans="1:18">
      <c r="A20" s="15" t="s">
        <v>362</v>
      </c>
      <c r="B20" s="17" t="n">
        <v>1630</v>
      </c>
      <c r="C20" s="18">
        <f>(1424.0/B20*100)</f>
        <v/>
      </c>
      <c r="D20" s="19" t="n">
        <v>206</v>
      </c>
      <c r="E20" s="18" t="n">
        <v>26.16235019</v>
      </c>
      <c r="F20" s="20" t="n">
        <v>3.27983556</v>
      </c>
      <c r="G20" s="18" t="n">
        <v>66.90747562</v>
      </c>
      <c r="H20" s="20" t="n">
        <v>3.1431221</v>
      </c>
      <c r="I20" s="18" t="s">
        <v>349</v>
      </c>
      <c r="J20" s="20" t="s">
        <v>349</v>
      </c>
      <c r="K20" s="18" t="n">
        <v>0.45962615</v>
      </c>
      <c r="L20" s="20" t="n">
        <v>0.46144935</v>
      </c>
      <c r="M20" s="18" t="n">
        <v>0</v>
      </c>
      <c r="N20" s="20" t="n">
        <v>0</v>
      </c>
      <c r="O20" s="18" t="n">
        <v>0</v>
      </c>
      <c r="P20" s="20" t="n">
        <v>0</v>
      </c>
      <c r="Q20" s="18" t="n">
        <v>6.47054804</v>
      </c>
      <c r="R20" s="20" t="n">
        <v>1.59630403</v>
      </c>
    </row>
    <row r="21" spans="1:18">
      <c r="A21" s="15" t="s">
        <v>363</v>
      </c>
      <c r="B21" s="17" t="n">
        <v>2908</v>
      </c>
      <c r="C21" s="18">
        <f>(2408.0/B21*100)</f>
        <v/>
      </c>
      <c r="D21" s="19" t="n">
        <v>500</v>
      </c>
      <c r="E21" s="18" t="n">
        <v>20.05323756</v>
      </c>
      <c r="F21" s="20" t="n">
        <v>1.96185707</v>
      </c>
      <c r="G21" s="18" t="n">
        <v>74.60468638</v>
      </c>
      <c r="H21" s="20" t="n">
        <v>2.19094248</v>
      </c>
      <c r="I21" s="18" t="s">
        <v>349</v>
      </c>
      <c r="J21" s="20" t="s">
        <v>349</v>
      </c>
      <c r="K21" s="18" t="n">
        <v>0.86300361</v>
      </c>
      <c r="L21" s="20" t="n">
        <v>0.4402235</v>
      </c>
      <c r="M21" s="18" t="n">
        <v>0</v>
      </c>
      <c r="N21" s="20" t="n">
        <v>0</v>
      </c>
      <c r="O21" s="18" t="n">
        <v>0</v>
      </c>
      <c r="P21" s="20" t="n">
        <v>0</v>
      </c>
      <c r="Q21" s="18" t="n">
        <v>4.47907245</v>
      </c>
      <c r="R21" s="20" t="n">
        <v>1.06899999</v>
      </c>
    </row>
    <row r="22" spans="1:18">
      <c r="A22" s="15" t="s">
        <v>364</v>
      </c>
      <c r="B22" s="17" t="n">
        <v>2931</v>
      </c>
      <c r="C22" s="18">
        <f>(2563.0/B22*100)</f>
        <v/>
      </c>
      <c r="D22" s="19" t="n">
        <v>368</v>
      </c>
      <c r="E22" s="18" t="n">
        <v>29.43406252</v>
      </c>
      <c r="F22" s="20" t="n">
        <v>3.00331433</v>
      </c>
      <c r="G22" s="18" t="n">
        <v>59.46977908</v>
      </c>
      <c r="H22" s="20" t="n">
        <v>3.20853438</v>
      </c>
      <c r="I22" s="18" t="s">
        <v>349</v>
      </c>
      <c r="J22" s="20" t="s">
        <v>349</v>
      </c>
      <c r="K22" s="18" t="n">
        <v>1.63739645</v>
      </c>
      <c r="L22" s="20" t="n">
        <v>0.8649568</v>
      </c>
      <c r="M22" s="18" t="n">
        <v>0</v>
      </c>
      <c r="N22" s="20" t="n">
        <v>0</v>
      </c>
      <c r="O22" s="18" t="n">
        <v>0</v>
      </c>
      <c r="P22" s="20" t="n">
        <v>0</v>
      </c>
      <c r="Q22" s="18" t="n">
        <v>9.45876195</v>
      </c>
      <c r="R22" s="20" t="n">
        <v>1.99259613</v>
      </c>
    </row>
    <row r="23" spans="1:18">
      <c r="A23" s="15" t="s">
        <v>365</v>
      </c>
      <c r="B23" s="17" t="n">
        <v>5791</v>
      </c>
      <c r="C23" s="18">
        <f>(5093.0/B23*100)</f>
        <v/>
      </c>
      <c r="D23" s="19" t="n">
        <v>698</v>
      </c>
      <c r="E23" s="18" t="n">
        <v>20.71116272</v>
      </c>
      <c r="F23" s="20" t="n">
        <v>1.95038028</v>
      </c>
      <c r="G23" s="18" t="n">
        <v>72.13458067000001</v>
      </c>
      <c r="H23" s="20" t="n">
        <v>2.10011979</v>
      </c>
      <c r="I23" s="18" t="s">
        <v>349</v>
      </c>
      <c r="J23" s="20" t="s">
        <v>349</v>
      </c>
      <c r="K23" s="18" t="n">
        <v>0.8894635</v>
      </c>
      <c r="L23" s="20" t="n">
        <v>0.43931149</v>
      </c>
      <c r="M23" s="18" t="n">
        <v>0</v>
      </c>
      <c r="N23" s="20" t="n">
        <v>0</v>
      </c>
      <c r="O23" s="18" t="n">
        <v>0</v>
      </c>
      <c r="P23" s="20" t="n">
        <v>0</v>
      </c>
      <c r="Q23" s="18" t="n">
        <v>6.26479311</v>
      </c>
      <c r="R23" s="20" t="n">
        <v>1.08527116</v>
      </c>
    </row>
    <row r="24" spans="1:18">
      <c r="A24" s="15" t="s">
        <v>366</v>
      </c>
      <c r="B24" s="17" t="n">
        <v>3338</v>
      </c>
      <c r="C24" s="18">
        <f>(2943.0/B24*100)</f>
        <v/>
      </c>
      <c r="D24" s="19" t="n">
        <v>395</v>
      </c>
      <c r="E24" s="18" t="n">
        <v>47.90705113</v>
      </c>
      <c r="F24" s="20" t="n">
        <v>2.37410139</v>
      </c>
      <c r="G24" s="18" t="n">
        <v>47.75637052</v>
      </c>
      <c r="H24" s="20" t="n">
        <v>2.35625329</v>
      </c>
      <c r="I24" s="18" t="s">
        <v>349</v>
      </c>
      <c r="J24" s="20" t="s">
        <v>349</v>
      </c>
      <c r="K24" s="18" t="n">
        <v>0.23360937</v>
      </c>
      <c r="L24" s="20" t="n">
        <v>0.23533437</v>
      </c>
      <c r="M24" s="18" t="n">
        <v>0</v>
      </c>
      <c r="N24" s="20" t="n">
        <v>0</v>
      </c>
      <c r="O24" s="18" t="n">
        <v>0</v>
      </c>
      <c r="P24" s="20" t="n">
        <v>0</v>
      </c>
      <c r="Q24" s="18" t="n">
        <v>4.10296898</v>
      </c>
      <c r="R24" s="20" t="n">
        <v>1.14251174</v>
      </c>
    </row>
    <row r="25" spans="1:18">
      <c r="A25" s="15" t="s">
        <v>367</v>
      </c>
      <c r="B25" s="17" t="n">
        <v>2912</v>
      </c>
      <c r="C25" s="18">
        <f>(2558.0/B25*100)</f>
        <v/>
      </c>
      <c r="D25" s="19" t="n">
        <v>354</v>
      </c>
      <c r="E25" s="18" t="n">
        <v>20.9645769</v>
      </c>
      <c r="F25" s="20" t="n">
        <v>2.3364266</v>
      </c>
      <c r="G25" s="18" t="n">
        <v>72.43727394</v>
      </c>
      <c r="H25" s="20" t="n">
        <v>2.69067903</v>
      </c>
      <c r="I25" s="18" t="s">
        <v>349</v>
      </c>
      <c r="J25" s="20" t="s">
        <v>349</v>
      </c>
      <c r="K25" s="18" t="n">
        <v>0.58845731</v>
      </c>
      <c r="L25" s="20" t="n">
        <v>0.42113335</v>
      </c>
      <c r="M25" s="18" t="n">
        <v>0</v>
      </c>
      <c r="N25" s="20" t="n">
        <v>0</v>
      </c>
      <c r="O25" s="18" t="n">
        <v>0</v>
      </c>
      <c r="P25" s="20" t="n">
        <v>0</v>
      </c>
      <c r="Q25" s="18" t="n">
        <v>6.00969185</v>
      </c>
      <c r="R25" s="20" t="n">
        <v>1.27168099</v>
      </c>
    </row>
    <row r="26" spans="1:18">
      <c r="A26" s="15" t="s">
        <v>368</v>
      </c>
      <c r="B26" s="17" t="n">
        <v>2450</v>
      </c>
      <c r="C26" s="18">
        <f>(2152.0/B26*100)</f>
        <v/>
      </c>
      <c r="D26" s="19" t="n">
        <v>298</v>
      </c>
      <c r="E26" s="18" t="n">
        <v>54.20016721</v>
      </c>
      <c r="F26" s="20" t="n">
        <v>2.81626577</v>
      </c>
      <c r="G26" s="18" t="n">
        <v>37.35272025</v>
      </c>
      <c r="H26" s="20" t="n">
        <v>2.98957417</v>
      </c>
      <c r="I26" s="18" t="s">
        <v>349</v>
      </c>
      <c r="J26" s="20" t="s">
        <v>349</v>
      </c>
      <c r="K26" s="18" t="n">
        <v>0.27348846</v>
      </c>
      <c r="L26" s="20" t="n">
        <v>0.23928036</v>
      </c>
      <c r="M26" s="18" t="n">
        <v>0</v>
      </c>
      <c r="N26" s="20" t="n">
        <v>0</v>
      </c>
      <c r="O26" s="18" t="n">
        <v>0</v>
      </c>
      <c r="P26" s="20" t="n">
        <v>0</v>
      </c>
      <c r="Q26" s="18" t="n">
        <v>8.17362408</v>
      </c>
      <c r="R26" s="20" t="n">
        <v>1.83464163</v>
      </c>
    </row>
    <row r="27" spans="1:18">
      <c r="A27" s="15" t="s">
        <v>369</v>
      </c>
      <c r="B27" s="17" t="n">
        <v>2616</v>
      </c>
      <c r="C27" s="18">
        <f>(2298.0/B27*100)</f>
        <v/>
      </c>
      <c r="D27" s="19" t="n">
        <v>318</v>
      </c>
      <c r="E27" s="18" t="n">
        <v>22.92301957</v>
      </c>
      <c r="F27" s="20" t="n">
        <v>2.24032501</v>
      </c>
      <c r="G27" s="18" t="n">
        <v>69.7039036</v>
      </c>
      <c r="H27" s="20" t="n">
        <v>2.34736429</v>
      </c>
      <c r="I27" s="18" t="s">
        <v>349</v>
      </c>
      <c r="J27" s="20" t="s">
        <v>349</v>
      </c>
      <c r="K27" s="18" t="n">
        <v>0.64598656</v>
      </c>
      <c r="L27" s="20" t="n">
        <v>0.45403867</v>
      </c>
      <c r="M27" s="18" t="n">
        <v>0</v>
      </c>
      <c r="N27" s="20" t="n">
        <v>0</v>
      </c>
      <c r="O27" s="18" t="n">
        <v>0</v>
      </c>
      <c r="P27" s="20" t="n">
        <v>0</v>
      </c>
      <c r="Q27" s="18" t="n">
        <v>6.72709027</v>
      </c>
      <c r="R27" s="20" t="n">
        <v>1.36143745</v>
      </c>
    </row>
    <row r="28" spans="1:18">
      <c r="A28" s="15" t="s">
        <v>370</v>
      </c>
      <c r="B28" s="17" t="n">
        <v>3765</v>
      </c>
      <c r="C28" s="18">
        <f>(3296.0/B28*100)</f>
        <v/>
      </c>
      <c r="D28" s="19" t="n">
        <v>469</v>
      </c>
      <c r="E28" s="18" t="n">
        <v>52.87746566</v>
      </c>
      <c r="F28" s="20" t="n">
        <v>2.4451927</v>
      </c>
      <c r="G28" s="18" t="n">
        <v>38.02028789</v>
      </c>
      <c r="H28" s="20" t="n">
        <v>2.50929667</v>
      </c>
      <c r="I28" s="18" t="s">
        <v>349</v>
      </c>
      <c r="J28" s="20" t="s">
        <v>349</v>
      </c>
      <c r="K28" s="18" t="n">
        <v>1.30543677</v>
      </c>
      <c r="L28" s="20" t="n">
        <v>0.6466354600000001</v>
      </c>
      <c r="M28" s="18" t="n">
        <v>0</v>
      </c>
      <c r="N28" s="20" t="n">
        <v>0</v>
      </c>
      <c r="O28" s="18" t="n">
        <v>0</v>
      </c>
      <c r="P28" s="20" t="n">
        <v>0</v>
      </c>
      <c r="Q28" s="18" t="n">
        <v>7.79680968</v>
      </c>
      <c r="R28" s="20" t="n">
        <v>1.4732608</v>
      </c>
    </row>
    <row r="29" spans="1:18">
      <c r="A29" s="15" t="s">
        <v>371</v>
      </c>
      <c r="B29" s="17" t="n">
        <v>2685</v>
      </c>
      <c r="C29" s="18">
        <f>(2332.0/B29*100)</f>
        <v/>
      </c>
      <c r="D29" s="19" t="n">
        <v>353</v>
      </c>
      <c r="E29" s="18" t="n">
        <v>30.45750429</v>
      </c>
      <c r="F29" s="20" t="n">
        <v>2.17193576</v>
      </c>
      <c r="G29" s="18" t="n">
        <v>64.39612717999999</v>
      </c>
      <c r="H29" s="20" t="n">
        <v>3.54533489</v>
      </c>
      <c r="I29" s="18" t="s">
        <v>349</v>
      </c>
      <c r="J29" s="20" t="s">
        <v>349</v>
      </c>
      <c r="K29" s="18" t="n">
        <v>4.21839516</v>
      </c>
      <c r="L29" s="20" t="n">
        <v>2.25423073</v>
      </c>
      <c r="M29" s="18" t="n">
        <v>0</v>
      </c>
      <c r="N29" s="20" t="n">
        <v>0</v>
      </c>
      <c r="O29" s="18" t="n">
        <v>0</v>
      </c>
      <c r="P29" s="20" t="n">
        <v>0</v>
      </c>
      <c r="Q29" s="18" t="n">
        <v>0.92797338</v>
      </c>
      <c r="R29" s="20" t="n">
        <v>0.55482758</v>
      </c>
    </row>
    <row r="30" spans="1:18">
      <c r="A30" s="15" t="s">
        <v>372</v>
      </c>
      <c r="B30" s="17" t="n">
        <v>2263</v>
      </c>
      <c r="C30" s="18">
        <f>(1996.0/B30*100)</f>
        <v/>
      </c>
      <c r="D30" s="19" t="n">
        <v>267</v>
      </c>
      <c r="E30" s="18" t="n">
        <v>22.30088721</v>
      </c>
      <c r="F30" s="20" t="n">
        <v>2.69951639</v>
      </c>
      <c r="G30" s="18" t="n">
        <v>68.00275617</v>
      </c>
      <c r="H30" s="20" t="n">
        <v>3.2609117</v>
      </c>
      <c r="I30" s="18" t="s">
        <v>349</v>
      </c>
      <c r="J30" s="20" t="s">
        <v>349</v>
      </c>
      <c r="K30" s="18" t="n">
        <v>0.33366511</v>
      </c>
      <c r="L30" s="20" t="n">
        <v>0.33870989</v>
      </c>
      <c r="M30" s="18" t="n">
        <v>0</v>
      </c>
      <c r="N30" s="20" t="n">
        <v>0</v>
      </c>
      <c r="O30" s="18" t="n">
        <v>0</v>
      </c>
      <c r="P30" s="20" t="n">
        <v>0</v>
      </c>
      <c r="Q30" s="18" t="n">
        <v>9.362691509999999</v>
      </c>
      <c r="R30" s="20" t="n">
        <v>1.77120979</v>
      </c>
    </row>
    <row r="31" spans="1:18">
      <c r="A31" s="15" t="s">
        <v>373</v>
      </c>
      <c r="B31" s="17" t="n">
        <v>2750</v>
      </c>
      <c r="C31" s="18">
        <f>(2422.0/B31*100)</f>
        <v/>
      </c>
      <c r="D31" s="19" t="n">
        <v>328</v>
      </c>
      <c r="E31" s="18" t="n">
        <v>42.07436196</v>
      </c>
      <c r="F31" s="20" t="n">
        <v>2.59757195</v>
      </c>
      <c r="G31" s="18" t="n">
        <v>49.90967292</v>
      </c>
      <c r="H31" s="20" t="n">
        <v>2.76448446</v>
      </c>
      <c r="I31" s="18" t="s">
        <v>349</v>
      </c>
      <c r="J31" s="20" t="s">
        <v>349</v>
      </c>
      <c r="K31" s="18" t="n">
        <v>1.55265289</v>
      </c>
      <c r="L31" s="20" t="n">
        <v>0.67848217</v>
      </c>
      <c r="M31" s="18" t="n">
        <v>0</v>
      </c>
      <c r="N31" s="20" t="n">
        <v>0</v>
      </c>
      <c r="O31" s="18" t="n">
        <v>0</v>
      </c>
      <c r="P31" s="20" t="n">
        <v>0</v>
      </c>
      <c r="Q31" s="18" t="n">
        <v>6.46331224</v>
      </c>
      <c r="R31" s="20" t="n">
        <v>1.31426022</v>
      </c>
    </row>
    <row r="32" spans="1:18">
      <c r="A32" s="15" t="s">
        <v>374</v>
      </c>
      <c r="B32" s="17" t="n">
        <v>2269</v>
      </c>
      <c r="C32" s="18">
        <f>(1853.0/B32*100)</f>
        <v/>
      </c>
      <c r="D32" s="19" t="n">
        <v>416</v>
      </c>
      <c r="E32" s="18" t="n">
        <v>20.96745006</v>
      </c>
      <c r="F32" s="20" t="n">
        <v>1.98832694</v>
      </c>
      <c r="G32" s="18" t="n">
        <v>72.08310303</v>
      </c>
      <c r="H32" s="20" t="n">
        <v>2.2258629</v>
      </c>
      <c r="I32" s="18" t="s">
        <v>349</v>
      </c>
      <c r="J32" s="20" t="s">
        <v>349</v>
      </c>
      <c r="K32" s="18" t="n">
        <v>0</v>
      </c>
      <c r="L32" s="20" t="n">
        <v>0</v>
      </c>
      <c r="M32" s="18" t="n">
        <v>0</v>
      </c>
      <c r="N32" s="20" t="n">
        <v>0</v>
      </c>
      <c r="O32" s="18" t="n">
        <v>0</v>
      </c>
      <c r="P32" s="20" t="n">
        <v>0</v>
      </c>
      <c r="Q32" s="18" t="n">
        <v>6.94944691</v>
      </c>
      <c r="R32" s="20" t="n">
        <v>1.36435492</v>
      </c>
    </row>
    <row r="33" spans="1:18">
      <c r="A33" s="15" t="s">
        <v>375</v>
      </c>
      <c r="B33" s="17" t="n">
        <v>3674</v>
      </c>
      <c r="C33" s="18">
        <f>(3243.0/B33*100)</f>
        <v/>
      </c>
      <c r="D33" s="19" t="n">
        <v>431</v>
      </c>
      <c r="E33" s="18" t="n">
        <v>14.40454496</v>
      </c>
      <c r="F33" s="20" t="n">
        <v>2.07816579</v>
      </c>
      <c r="G33" s="18" t="n">
        <v>79.75841287999999</v>
      </c>
      <c r="H33" s="20" t="n">
        <v>2.72764258</v>
      </c>
      <c r="I33" s="18" t="s">
        <v>349</v>
      </c>
      <c r="J33" s="20" t="s">
        <v>349</v>
      </c>
      <c r="K33" s="18" t="n">
        <v>0.6889505</v>
      </c>
      <c r="L33" s="20" t="n">
        <v>0.7981675</v>
      </c>
      <c r="M33" s="18" t="n">
        <v>0</v>
      </c>
      <c r="N33" s="20" t="n">
        <v>0</v>
      </c>
      <c r="O33" s="18" t="n">
        <v>0</v>
      </c>
      <c r="P33" s="20" t="n">
        <v>0</v>
      </c>
      <c r="Q33" s="18" t="n">
        <v>5.14809167</v>
      </c>
      <c r="R33" s="20" t="n">
        <v>1.25560786</v>
      </c>
    </row>
    <row r="34" spans="1:18">
      <c r="A34" s="15" t="s">
        <v>376</v>
      </c>
      <c r="B34" s="17" t="n">
        <v>3315</v>
      </c>
      <c r="C34" s="18">
        <f>(2843.0/B34*100)</f>
        <v/>
      </c>
      <c r="D34" s="19" t="n">
        <v>472</v>
      </c>
      <c r="E34" s="18" t="n">
        <v>39.73255215</v>
      </c>
      <c r="F34" s="20" t="n">
        <v>3.22749899</v>
      </c>
      <c r="G34" s="18" t="n">
        <v>48.84125101</v>
      </c>
      <c r="H34" s="20" t="n">
        <v>2.86346433</v>
      </c>
      <c r="I34" s="18" t="s">
        <v>349</v>
      </c>
      <c r="J34" s="20" t="s">
        <v>349</v>
      </c>
      <c r="K34" s="18" t="n">
        <v>5.18977858</v>
      </c>
      <c r="L34" s="20" t="n">
        <v>1.66740101</v>
      </c>
      <c r="M34" s="18" t="n">
        <v>0</v>
      </c>
      <c r="N34" s="20" t="n">
        <v>0</v>
      </c>
      <c r="O34" s="18" t="n">
        <v>0</v>
      </c>
      <c r="P34" s="20" t="n">
        <v>0</v>
      </c>
      <c r="Q34" s="18" t="n">
        <v>6.23641826</v>
      </c>
      <c r="R34" s="20" t="n">
        <v>1.17229694</v>
      </c>
    </row>
    <row r="35" spans="1:18">
      <c r="A35" s="15" t="s">
        <v>377</v>
      </c>
      <c r="B35" s="17" t="n">
        <v>3505</v>
      </c>
      <c r="C35" s="18">
        <f>(2989.0/B35*100)</f>
        <v/>
      </c>
      <c r="D35" s="19" t="n">
        <v>516</v>
      </c>
      <c r="E35" s="18" t="n">
        <v>22.57212803</v>
      </c>
      <c r="F35" s="20" t="n">
        <v>2.05372433</v>
      </c>
      <c r="G35" s="18" t="n">
        <v>71.04766890000001</v>
      </c>
      <c r="H35" s="20" t="n">
        <v>2.28170596</v>
      </c>
      <c r="I35" s="18" t="s">
        <v>349</v>
      </c>
      <c r="J35" s="20" t="s">
        <v>349</v>
      </c>
      <c r="K35" s="18" t="n">
        <v>3.00813269</v>
      </c>
      <c r="L35" s="20" t="n">
        <v>0.56254811</v>
      </c>
      <c r="M35" s="18" t="n">
        <v>0</v>
      </c>
      <c r="N35" s="20" t="n">
        <v>0</v>
      </c>
      <c r="O35" s="18" t="n">
        <v>0</v>
      </c>
      <c r="P35" s="20" t="n">
        <v>0</v>
      </c>
      <c r="Q35" s="18" t="n">
        <v>3.37207038</v>
      </c>
      <c r="R35" s="20" t="n">
        <v>0.73586328</v>
      </c>
    </row>
    <row r="36" spans="1:18">
      <c r="A36" s="15" t="s">
        <v>378</v>
      </c>
      <c r="B36" s="17" t="n">
        <v>3332</v>
      </c>
      <c r="C36" s="18">
        <f>(2927.0/B36*100)</f>
        <v/>
      </c>
      <c r="D36" s="19" t="n">
        <v>405</v>
      </c>
      <c r="E36" s="18" t="n">
        <v>17.64129011</v>
      </c>
      <c r="F36" s="20" t="n">
        <v>2.05708568</v>
      </c>
      <c r="G36" s="18" t="n">
        <v>72.12224168</v>
      </c>
      <c r="H36" s="20" t="n">
        <v>2.37230094</v>
      </c>
      <c r="I36" s="18" t="s">
        <v>349</v>
      </c>
      <c r="J36" s="20" t="s">
        <v>349</v>
      </c>
      <c r="K36" s="18" t="n">
        <v>0.50064756</v>
      </c>
      <c r="L36" s="20" t="n">
        <v>0.38335192</v>
      </c>
      <c r="M36" s="18" t="n">
        <v>0</v>
      </c>
      <c r="N36" s="20" t="n">
        <v>0</v>
      </c>
      <c r="O36" s="18" t="n">
        <v>0</v>
      </c>
      <c r="P36" s="20" t="n">
        <v>0</v>
      </c>
      <c r="Q36" s="18" t="n">
        <v>9.735820650000001</v>
      </c>
      <c r="R36" s="20" t="n">
        <v>1.63784162</v>
      </c>
    </row>
    <row r="37" spans="1:18">
      <c r="A37" s="15" t="s">
        <v>379</v>
      </c>
      <c r="B37" s="17" t="n">
        <v>2727</v>
      </c>
      <c r="C37" s="18">
        <f>(2398.0/B37*100)</f>
        <v/>
      </c>
      <c r="D37" s="19" t="n">
        <v>329</v>
      </c>
      <c r="E37" s="18" t="n">
        <v>38.43838583</v>
      </c>
      <c r="F37" s="20" t="n">
        <v>3.04940419</v>
      </c>
      <c r="G37" s="18" t="n">
        <v>52.77521147</v>
      </c>
      <c r="H37" s="20" t="n">
        <v>3.12404404</v>
      </c>
      <c r="I37" s="18" t="s">
        <v>349</v>
      </c>
      <c r="J37" s="20" t="s">
        <v>349</v>
      </c>
      <c r="K37" s="18" t="n">
        <v>1.51390769</v>
      </c>
      <c r="L37" s="20" t="n">
        <v>0.7300249599999999</v>
      </c>
      <c r="M37" s="18" t="n">
        <v>0</v>
      </c>
      <c r="N37" s="20" t="n">
        <v>0</v>
      </c>
      <c r="O37" s="18" t="n">
        <v>0</v>
      </c>
      <c r="P37" s="20" t="n">
        <v>0</v>
      </c>
      <c r="Q37" s="18" t="n">
        <v>7.272495</v>
      </c>
      <c r="R37" s="20" t="n">
        <v>1.66502698</v>
      </c>
    </row>
    <row r="38" spans="1:18">
      <c r="A38" s="15" t="s">
        <v>380</v>
      </c>
      <c r="B38" s="17" t="n">
        <v>3053</v>
      </c>
      <c r="C38" s="18">
        <f>(2523.0/B38*100)</f>
        <v/>
      </c>
      <c r="D38" s="19" t="n">
        <v>530</v>
      </c>
      <c r="E38" s="18" t="n">
        <v>17.13898652</v>
      </c>
      <c r="F38" s="20" t="n">
        <v>1.73929381</v>
      </c>
      <c r="G38" s="18" t="n">
        <v>50.56005082</v>
      </c>
      <c r="H38" s="20" t="n">
        <v>2.32325919</v>
      </c>
      <c r="I38" s="18" t="s">
        <v>349</v>
      </c>
      <c r="J38" s="20" t="s">
        <v>349</v>
      </c>
      <c r="K38" s="18" t="n">
        <v>1.06434135</v>
      </c>
      <c r="L38" s="20" t="n">
        <v>0.55942019</v>
      </c>
      <c r="M38" s="18" t="n">
        <v>28.59728376</v>
      </c>
      <c r="N38" s="20" t="n">
        <v>1.7349714</v>
      </c>
      <c r="O38" s="18" t="n">
        <v>0</v>
      </c>
      <c r="P38" s="20" t="n">
        <v>0</v>
      </c>
      <c r="Q38" s="18" t="n">
        <v>2.63933754</v>
      </c>
      <c r="R38" s="20" t="n">
        <v>0.71966366</v>
      </c>
    </row>
    <row r="39" spans="1:18">
      <c r="A39" s="15" t="s">
        <v>381</v>
      </c>
      <c r="B39" s="17" t="n">
        <v>2957</v>
      </c>
      <c r="C39" s="18">
        <f>(2613.0/B39*100)</f>
        <v/>
      </c>
      <c r="D39" s="19" t="n">
        <v>344</v>
      </c>
      <c r="E39" s="18" t="n">
        <v>42.95442387</v>
      </c>
      <c r="F39" s="20" t="n">
        <v>3.23101999</v>
      </c>
      <c r="G39" s="18" t="n">
        <v>50.43893739</v>
      </c>
      <c r="H39" s="20" t="n">
        <v>3.02780354</v>
      </c>
      <c r="I39" s="18" t="s">
        <v>349</v>
      </c>
      <c r="J39" s="20" t="s">
        <v>349</v>
      </c>
      <c r="K39" s="18" t="n">
        <v>0.43278052</v>
      </c>
      <c r="L39" s="20" t="n">
        <v>0.31023872</v>
      </c>
      <c r="M39" s="18" t="n">
        <v>0</v>
      </c>
      <c r="N39" s="20" t="n">
        <v>0</v>
      </c>
      <c r="O39" s="18" t="n">
        <v>0</v>
      </c>
      <c r="P39" s="20" t="n">
        <v>0</v>
      </c>
      <c r="Q39" s="18" t="n">
        <v>6.17385821</v>
      </c>
      <c r="R39" s="20" t="n">
        <v>1.5907254</v>
      </c>
    </row>
    <row r="40" spans="1:18">
      <c r="A40" s="15" t="s">
        <v>382</v>
      </c>
      <c r="B40" s="17" t="n">
        <v>7235</v>
      </c>
      <c r="C40" s="18">
        <f>(6350.0/B40*100)</f>
        <v/>
      </c>
      <c r="D40" s="19" t="n">
        <v>885</v>
      </c>
      <c r="E40" s="18" t="n">
        <v>24.33813609</v>
      </c>
      <c r="F40" s="20" t="n">
        <v>2.16064938</v>
      </c>
      <c r="G40" s="18" t="n">
        <v>69.57699212</v>
      </c>
      <c r="H40" s="20" t="n">
        <v>2.46513767</v>
      </c>
      <c r="I40" s="18" t="s">
        <v>349</v>
      </c>
      <c r="J40" s="20" t="s">
        <v>349</v>
      </c>
      <c r="K40" s="18" t="n">
        <v>0.09677399</v>
      </c>
      <c r="L40" s="20" t="n">
        <v>0.0592031</v>
      </c>
      <c r="M40" s="18" t="n">
        <v>0</v>
      </c>
      <c r="N40" s="20" t="n">
        <v>0</v>
      </c>
      <c r="O40" s="18" t="n">
        <v>0</v>
      </c>
      <c r="P40" s="20" t="n">
        <v>0</v>
      </c>
      <c r="Q40" s="18" t="n">
        <v>5.9880978</v>
      </c>
      <c r="R40" s="20" t="n">
        <v>1.3777195</v>
      </c>
    </row>
    <row r="41" spans="1:18">
      <c r="A41" s="15" t="s">
        <v>383</v>
      </c>
      <c r="B41" s="17" t="n">
        <v>2858</v>
      </c>
      <c r="C41" s="18">
        <f>(2491.0/B41*100)</f>
        <v/>
      </c>
      <c r="D41" s="19" t="n">
        <v>367</v>
      </c>
      <c r="E41" s="18" t="n">
        <v>30.36503036</v>
      </c>
      <c r="F41" s="20" t="n">
        <v>2.50180125</v>
      </c>
      <c r="G41" s="18" t="n">
        <v>64.36777773</v>
      </c>
      <c r="H41" s="20" t="n">
        <v>2.33360395</v>
      </c>
      <c r="I41" s="18" t="s">
        <v>349</v>
      </c>
      <c r="J41" s="20" t="s">
        <v>349</v>
      </c>
      <c r="K41" s="18" t="n">
        <v>1.47696904</v>
      </c>
      <c r="L41" s="20" t="n">
        <v>1.0205849</v>
      </c>
      <c r="M41" s="18" t="n">
        <v>0</v>
      </c>
      <c r="N41" s="20" t="n">
        <v>0</v>
      </c>
      <c r="O41" s="18" t="n">
        <v>0</v>
      </c>
      <c r="P41" s="20" t="n">
        <v>0</v>
      </c>
      <c r="Q41" s="18" t="n">
        <v>3.79022286</v>
      </c>
      <c r="R41" s="20" t="n">
        <v>0.98595371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(9879.0/B46*100)</f>
        <v/>
      </c>
      <c r="D46" s="19" t="n">
        <v>1189</v>
      </c>
      <c r="E46" s="18" t="n">
        <v>50.48762134</v>
      </c>
      <c r="F46" s="20" t="n">
        <v>2.39290172</v>
      </c>
      <c r="G46" s="18" t="n">
        <v>33.6836859</v>
      </c>
      <c r="H46" s="20" t="n">
        <v>2.30517055</v>
      </c>
      <c r="I46" s="18" t="s">
        <v>349</v>
      </c>
      <c r="J46" s="20" t="s">
        <v>349</v>
      </c>
      <c r="K46" s="18" t="n">
        <v>1.95393344</v>
      </c>
      <c r="L46" s="20" t="n">
        <v>0.43561425</v>
      </c>
      <c r="M46" s="18" t="n">
        <v>0</v>
      </c>
      <c r="N46" s="20" t="n">
        <v>0</v>
      </c>
      <c r="O46" s="18" t="n">
        <v>0</v>
      </c>
      <c r="P46" s="20" t="n">
        <v>0</v>
      </c>
      <c r="Q46" s="18" t="n">
        <v>13.87475932</v>
      </c>
      <c r="R46" s="20" t="n">
        <v>1.46949095</v>
      </c>
    </row>
    <row r="47" spans="1:18">
      <c r="A47" s="15" t="s">
        <v>389</v>
      </c>
      <c r="B47" s="17" t="n">
        <v>3105</v>
      </c>
      <c r="C47" s="18">
        <f>(2719.0/B47*100)</f>
        <v/>
      </c>
      <c r="D47" s="19" t="n">
        <v>386</v>
      </c>
      <c r="E47" s="18" t="n">
        <v>37.59721718</v>
      </c>
      <c r="F47" s="20" t="n">
        <v>2.97958361</v>
      </c>
      <c r="G47" s="18" t="n">
        <v>53.12044516</v>
      </c>
      <c r="H47" s="20" t="n">
        <v>2.86430748</v>
      </c>
      <c r="I47" s="18" t="s">
        <v>349</v>
      </c>
      <c r="J47" s="20" t="s">
        <v>349</v>
      </c>
      <c r="K47" s="18" t="n">
        <v>0.51105356</v>
      </c>
      <c r="L47" s="20" t="n">
        <v>0.38871835</v>
      </c>
      <c r="M47" s="18" t="n">
        <v>0</v>
      </c>
      <c r="N47" s="20" t="n">
        <v>0</v>
      </c>
      <c r="O47" s="18" t="n">
        <v>0</v>
      </c>
      <c r="P47" s="20" t="n">
        <v>0</v>
      </c>
      <c r="Q47" s="18" t="n">
        <v>8.771284100000001</v>
      </c>
      <c r="R47" s="20" t="n">
        <v>1.70932302</v>
      </c>
    </row>
    <row r="48" spans="1:18">
      <c r="A48" s="15" t="s">
        <v>390</v>
      </c>
      <c r="B48" s="17" t="n">
        <v>5159</v>
      </c>
      <c r="C48" s="18">
        <f>(4547.0/B48*100)</f>
        <v/>
      </c>
      <c r="D48" s="19" t="n">
        <v>612</v>
      </c>
      <c r="E48" s="18" t="n">
        <v>16.34308139</v>
      </c>
      <c r="F48" s="20" t="n">
        <v>2.10853241</v>
      </c>
      <c r="G48" s="18" t="n">
        <v>80.29921194000001</v>
      </c>
      <c r="H48" s="20" t="n">
        <v>2.42361249</v>
      </c>
      <c r="I48" s="18" t="s">
        <v>349</v>
      </c>
      <c r="J48" s="20" t="s">
        <v>349</v>
      </c>
      <c r="K48" s="18" t="n">
        <v>0.83887491</v>
      </c>
      <c r="L48" s="20" t="n">
        <v>0.61641934</v>
      </c>
      <c r="M48" s="18" t="n">
        <v>0</v>
      </c>
      <c r="N48" s="20" t="n">
        <v>0</v>
      </c>
      <c r="O48" s="18" t="n">
        <v>0</v>
      </c>
      <c r="P48" s="20" t="n">
        <v>0</v>
      </c>
      <c r="Q48" s="18" t="n">
        <v>2.51883176</v>
      </c>
      <c r="R48" s="20" t="n">
        <v>0.74580886</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(4953.0/B50*100)</f>
        <v/>
      </c>
      <c r="D50" s="19" t="n">
        <v>684</v>
      </c>
      <c r="E50" s="18" t="n">
        <v>55.75891364</v>
      </c>
      <c r="F50" s="20" t="n">
        <v>2.53638903</v>
      </c>
      <c r="G50" s="18" t="n">
        <v>35.75741572</v>
      </c>
      <c r="H50" s="20" t="n">
        <v>2.54754597</v>
      </c>
      <c r="I50" s="18" t="s">
        <v>349</v>
      </c>
      <c r="J50" s="20" t="s">
        <v>349</v>
      </c>
      <c r="K50" s="18" t="n">
        <v>2.49765181</v>
      </c>
      <c r="L50" s="20" t="n">
        <v>1.10622408</v>
      </c>
      <c r="M50" s="18" t="n">
        <v>0</v>
      </c>
      <c r="N50" s="20" t="n">
        <v>0</v>
      </c>
      <c r="O50" s="18" t="n">
        <v>0</v>
      </c>
      <c r="P50" s="20" t="n">
        <v>0</v>
      </c>
      <c r="Q50" s="18" t="n">
        <v>5.98601883</v>
      </c>
      <c r="R50" s="20" t="n">
        <v>1.43337704</v>
      </c>
    </row>
    <row r="51" spans="1:18">
      <c r="A51" s="15" t="s">
        <v>393</v>
      </c>
      <c r="B51" s="17" t="n">
        <v>3372</v>
      </c>
      <c r="C51" s="18">
        <f>(2658.0/B51*100)</f>
        <v/>
      </c>
      <c r="D51" s="19" t="n">
        <v>714</v>
      </c>
      <c r="E51" s="18" t="n">
        <v>38.43104368</v>
      </c>
      <c r="F51" s="20" t="n">
        <v>2.11459976</v>
      </c>
      <c r="G51" s="18" t="n">
        <v>53.19294886</v>
      </c>
      <c r="H51" s="20" t="n">
        <v>2.29092059</v>
      </c>
      <c r="I51" s="18" t="s">
        <v>349</v>
      </c>
      <c r="J51" s="20" t="s">
        <v>349</v>
      </c>
      <c r="K51" s="18" t="n">
        <v>4.66351038</v>
      </c>
      <c r="L51" s="20" t="n">
        <v>0.77044738</v>
      </c>
      <c r="M51" s="18" t="n">
        <v>0</v>
      </c>
      <c r="N51" s="20" t="n">
        <v>0</v>
      </c>
      <c r="O51" s="18" t="n">
        <v>0</v>
      </c>
      <c r="P51" s="20" t="n">
        <v>0</v>
      </c>
      <c r="Q51" s="18" t="n">
        <v>3.71249709</v>
      </c>
      <c r="R51" s="20" t="n">
        <v>0.8494030299999999</v>
      </c>
    </row>
    <row r="52" spans="1:18">
      <c r="A52" s="15" t="s">
        <v>394</v>
      </c>
      <c r="B52" s="17" t="n">
        <v>2796</v>
      </c>
      <c r="C52" s="18">
        <f>(2460.0/B52*100)</f>
        <v/>
      </c>
      <c r="D52" s="19" t="n">
        <v>336</v>
      </c>
      <c r="E52" s="18" t="n">
        <v>19.585287</v>
      </c>
      <c r="F52" s="20" t="n">
        <v>2.25684323</v>
      </c>
      <c r="G52" s="18" t="n">
        <v>71.61367577</v>
      </c>
      <c r="H52" s="20" t="n">
        <v>2.81881286</v>
      </c>
      <c r="I52" s="18" t="s">
        <v>349</v>
      </c>
      <c r="J52" s="20" t="s">
        <v>349</v>
      </c>
      <c r="K52" s="18" t="n">
        <v>1.34165275</v>
      </c>
      <c r="L52" s="20" t="n">
        <v>0.63661723</v>
      </c>
      <c r="M52" s="18" t="n">
        <v>0</v>
      </c>
      <c r="N52" s="20" t="n">
        <v>0</v>
      </c>
      <c r="O52" s="18" t="n">
        <v>0</v>
      </c>
      <c r="P52" s="20" t="n">
        <v>0</v>
      </c>
      <c r="Q52" s="18" t="n">
        <v>7.45938448</v>
      </c>
      <c r="R52" s="20" t="n">
        <v>1.42543573</v>
      </c>
    </row>
    <row r="53" spans="1:18">
      <c r="A53" s="15" t="s">
        <v>395</v>
      </c>
      <c r="B53" s="17" t="n">
        <v>2811</v>
      </c>
      <c r="C53" s="18">
        <f>(2472.0/B53*100)</f>
        <v/>
      </c>
      <c r="D53" s="19" t="n">
        <v>339</v>
      </c>
      <c r="E53" s="18" t="n">
        <v>37.04085659</v>
      </c>
      <c r="F53" s="20" t="n">
        <v>2.61076389</v>
      </c>
      <c r="G53" s="18" t="n">
        <v>51.47387153</v>
      </c>
      <c r="H53" s="20" t="n">
        <v>2.93315376</v>
      </c>
      <c r="I53" s="18" t="s">
        <v>349</v>
      </c>
      <c r="J53" s="20" t="s">
        <v>349</v>
      </c>
      <c r="K53" s="18" t="n">
        <v>1.157872</v>
      </c>
      <c r="L53" s="20" t="n">
        <v>0.61381693</v>
      </c>
      <c r="M53" s="18" t="n">
        <v>0</v>
      </c>
      <c r="N53" s="20" t="n">
        <v>0</v>
      </c>
      <c r="O53" s="18" t="n">
        <v>0</v>
      </c>
      <c r="P53" s="20" t="n">
        <v>0</v>
      </c>
      <c r="Q53" s="18" t="n">
        <v>10.32739988</v>
      </c>
      <c r="R53" s="20" t="n">
        <v>1.61995542</v>
      </c>
    </row>
    <row r="54" spans="1:18">
      <c r="A54" s="15" t="s">
        <v>396</v>
      </c>
      <c r="B54" s="17" t="n">
        <v>2266</v>
      </c>
      <c r="C54" s="18">
        <f>(1892.0/B54*100)</f>
        <v/>
      </c>
      <c r="D54" s="19" t="n">
        <v>374</v>
      </c>
      <c r="E54" s="18" t="n">
        <v>66.67651019</v>
      </c>
      <c r="F54" s="20" t="n">
        <v>2.54868916</v>
      </c>
      <c r="G54" s="18" t="n">
        <v>5.821469</v>
      </c>
      <c r="H54" s="20" t="n">
        <v>1.17877034</v>
      </c>
      <c r="I54" s="18" t="s">
        <v>349</v>
      </c>
      <c r="J54" s="20" t="s">
        <v>349</v>
      </c>
      <c r="K54" s="18" t="n">
        <v>12.26068602</v>
      </c>
      <c r="L54" s="20" t="n">
        <v>2.03572307</v>
      </c>
      <c r="M54" s="18" t="n">
        <v>0</v>
      </c>
      <c r="N54" s="20" t="n">
        <v>0</v>
      </c>
      <c r="O54" s="18" t="n">
        <v>0</v>
      </c>
      <c r="P54" s="20" t="n">
        <v>0</v>
      </c>
      <c r="Q54" s="18" t="n">
        <v>15.2413348</v>
      </c>
      <c r="R54" s="20" t="n">
        <v>2.16392607</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(2349.0/B56*100)</f>
        <v/>
      </c>
      <c r="D56" s="19" t="n">
        <v>335</v>
      </c>
      <c r="E56" s="18" t="n">
        <v>9.9002453</v>
      </c>
      <c r="F56" s="20" t="n">
        <v>1.66975089</v>
      </c>
      <c r="G56" s="18" t="n">
        <v>87.35182153</v>
      </c>
      <c r="H56" s="20" t="n">
        <v>1.81898782</v>
      </c>
      <c r="I56" s="18" t="s">
        <v>349</v>
      </c>
      <c r="J56" s="20" t="s">
        <v>349</v>
      </c>
      <c r="K56" s="18" t="n">
        <v>0.48830857</v>
      </c>
      <c r="L56" s="20" t="n">
        <v>0.3572342</v>
      </c>
      <c r="M56" s="18" t="n">
        <v>0</v>
      </c>
      <c r="N56" s="20" t="n">
        <v>0</v>
      </c>
      <c r="O56" s="18" t="n">
        <v>0</v>
      </c>
      <c r="P56" s="20" t="n">
        <v>0</v>
      </c>
      <c r="Q56" s="18" t="n">
        <v>2.2596246</v>
      </c>
      <c r="R56" s="20" t="n">
        <v>0.91399794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(2925.0/B61*100)</f>
        <v/>
      </c>
      <c r="D61" s="19" t="n">
        <v>399</v>
      </c>
      <c r="E61" s="18" t="n">
        <v>26.42523324</v>
      </c>
      <c r="F61" s="20" t="n">
        <v>2.71271903</v>
      </c>
      <c r="G61" s="18" t="n">
        <v>68.32726579</v>
      </c>
      <c r="H61" s="20" t="n">
        <v>2.71625979</v>
      </c>
      <c r="I61" s="18" t="s">
        <v>349</v>
      </c>
      <c r="J61" s="20" t="s">
        <v>349</v>
      </c>
      <c r="K61" s="18" t="n">
        <v>0.37798227</v>
      </c>
      <c r="L61" s="20" t="n">
        <v>0.31416756</v>
      </c>
      <c r="M61" s="18" t="n">
        <v>0</v>
      </c>
      <c r="N61" s="20" t="n">
        <v>0</v>
      </c>
      <c r="O61" s="18" t="n">
        <v>0</v>
      </c>
      <c r="P61" s="20" t="n">
        <v>0</v>
      </c>
      <c r="Q61" s="18" t="n">
        <v>4.86951871</v>
      </c>
      <c r="R61" s="20" t="n">
        <v>1.0805347</v>
      </c>
    </row>
    <row r="62" spans="1:18">
      <c r="A62" s="15" t="s">
        <v>404</v>
      </c>
      <c r="B62" s="17" t="n">
        <v>2246</v>
      </c>
      <c r="C62" s="18">
        <f>(1958.0/B62*100)</f>
        <v/>
      </c>
      <c r="D62" s="19" t="n">
        <v>288</v>
      </c>
      <c r="E62" s="18" t="n">
        <v>9.00955692</v>
      </c>
      <c r="F62" s="20" t="n">
        <v>1.7317849</v>
      </c>
      <c r="G62" s="18" t="n">
        <v>90.29027309</v>
      </c>
      <c r="H62" s="20" t="n">
        <v>1.72677045</v>
      </c>
      <c r="I62" s="18" t="s">
        <v>349</v>
      </c>
      <c r="J62" s="20" t="s">
        <v>349</v>
      </c>
      <c r="K62" s="18" t="n">
        <v>0</v>
      </c>
      <c r="L62" s="20" t="n">
        <v>0</v>
      </c>
      <c r="M62" s="18" t="n">
        <v>0</v>
      </c>
      <c r="N62" s="20" t="n">
        <v>0</v>
      </c>
      <c r="O62" s="18" t="n">
        <v>0</v>
      </c>
      <c r="P62" s="20" t="n">
        <v>0</v>
      </c>
      <c r="Q62" s="18" t="n">
        <v>0.70016998</v>
      </c>
      <c r="R62" s="20" t="n">
        <v>0.49324221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(2541.0/B66*100)</f>
        <v/>
      </c>
      <c r="D66" s="19" t="n">
        <v>353</v>
      </c>
      <c r="E66" s="18" t="n">
        <v>33.25095741</v>
      </c>
      <c r="F66" s="20" t="n">
        <v>2.69970886</v>
      </c>
      <c r="G66" s="18" t="n">
        <v>51.00009369</v>
      </c>
      <c r="H66" s="20" t="n">
        <v>2.62874792</v>
      </c>
      <c r="I66" s="18" t="s">
        <v>349</v>
      </c>
      <c r="J66" s="20" t="s">
        <v>349</v>
      </c>
      <c r="K66" s="18" t="n">
        <v>1.39675529</v>
      </c>
      <c r="L66" s="20" t="n">
        <v>0.61704188</v>
      </c>
      <c r="M66" s="18" t="n">
        <v>0</v>
      </c>
      <c r="N66" s="20" t="n">
        <v>0</v>
      </c>
      <c r="O66" s="18" t="n">
        <v>0</v>
      </c>
      <c r="P66" s="20" t="n">
        <v>0</v>
      </c>
      <c r="Q66" s="18" t="n">
        <v>14.35219362</v>
      </c>
      <c r="R66" s="20" t="n">
        <v>1.84845993</v>
      </c>
    </row>
    <row r="67" spans="1:18">
      <c r="A67" s="15" t="s">
        <v>409</v>
      </c>
      <c r="B67" s="17" t="n">
        <v>3511</v>
      </c>
      <c r="C67" s="18">
        <f>(3126.0/B67*100)</f>
        <v/>
      </c>
      <c r="D67" s="19" t="n">
        <v>385</v>
      </c>
      <c r="E67" s="18" t="n">
        <v>43.3734626</v>
      </c>
      <c r="F67" s="20" t="n">
        <v>2.68647901</v>
      </c>
      <c r="G67" s="18" t="n">
        <v>43.8456399</v>
      </c>
      <c r="H67" s="20" t="n">
        <v>2.75054311</v>
      </c>
      <c r="I67" s="18" t="s">
        <v>349</v>
      </c>
      <c r="J67" s="20" t="s">
        <v>349</v>
      </c>
      <c r="K67" s="18" t="n">
        <v>0.43493966</v>
      </c>
      <c r="L67" s="20" t="n">
        <v>0.31135133</v>
      </c>
      <c r="M67" s="18" t="n">
        <v>0</v>
      </c>
      <c r="N67" s="20" t="n">
        <v>0</v>
      </c>
      <c r="O67" s="18" t="n">
        <v>0</v>
      </c>
      <c r="P67" s="20" t="n">
        <v>0</v>
      </c>
      <c r="Q67" s="18" t="n">
        <v>12.34595784</v>
      </c>
      <c r="R67" s="20" t="n">
        <v>1.69547066</v>
      </c>
    </row>
    <row r="68" spans="1:18">
      <c r="A68" s="15" t="s">
        <v>410</v>
      </c>
      <c r="B68" s="17" t="n">
        <v>6049</v>
      </c>
      <c r="C68" s="18">
        <f>(5035.0/B68*100)</f>
        <v/>
      </c>
      <c r="D68" s="19" t="n">
        <v>1014</v>
      </c>
      <c r="E68" s="18" t="n">
        <v>56.29158577</v>
      </c>
      <c r="F68" s="20" t="n">
        <v>1.58274234</v>
      </c>
      <c r="G68" s="18" t="n">
        <v>33.76976318</v>
      </c>
      <c r="H68" s="20" t="n">
        <v>1.52581444</v>
      </c>
      <c r="I68" s="18" t="s">
        <v>349</v>
      </c>
      <c r="J68" s="20" t="s">
        <v>349</v>
      </c>
      <c r="K68" s="18" t="n">
        <v>2.6208929</v>
      </c>
      <c r="L68" s="20" t="n">
        <v>0.49781283</v>
      </c>
      <c r="M68" s="18" t="n">
        <v>0</v>
      </c>
      <c r="N68" s="20" t="n">
        <v>0</v>
      </c>
      <c r="O68" s="18" t="n">
        <v>0</v>
      </c>
      <c r="P68" s="20" t="n">
        <v>0</v>
      </c>
      <c r="Q68" s="18" t="n">
        <v>7.31775815</v>
      </c>
      <c r="R68" s="20" t="n">
        <v>0.89506951</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(2579.0/B70*100)</f>
        <v/>
      </c>
      <c r="D70" s="19" t="n">
        <v>350</v>
      </c>
      <c r="E70" s="18" t="n">
        <v>27.34920236</v>
      </c>
      <c r="F70" s="20" t="n">
        <v>2.45037108</v>
      </c>
      <c r="G70" s="18" t="n">
        <v>69.44734314999999</v>
      </c>
      <c r="H70" s="20" t="n">
        <v>2.86780359</v>
      </c>
      <c r="I70" s="18" t="s">
        <v>349</v>
      </c>
      <c r="J70" s="20" t="s">
        <v>349</v>
      </c>
      <c r="K70" s="18" t="n">
        <v>0.13635032</v>
      </c>
      <c r="L70" s="20" t="n">
        <v>0.13972156</v>
      </c>
      <c r="M70" s="18" t="n">
        <v>0</v>
      </c>
      <c r="N70" s="20" t="n">
        <v>0</v>
      </c>
      <c r="O70" s="18" t="n">
        <v>0</v>
      </c>
      <c r="P70" s="20" t="n">
        <v>0</v>
      </c>
      <c r="Q70" s="18" t="n">
        <v>3.06710416</v>
      </c>
      <c r="R70" s="20" t="n">
        <v>1.21310093</v>
      </c>
    </row>
    <row r="71" spans="1:18">
      <c r="A71" s="15" t="s">
        <v>413</v>
      </c>
      <c r="B71" s="17" t="n">
        <v>3142</v>
      </c>
      <c r="C71" s="18">
        <f>(2755.0/B71*100)</f>
        <v/>
      </c>
      <c r="D71" s="19" t="n">
        <v>387</v>
      </c>
      <c r="E71" s="18" t="n">
        <v>12.80528811</v>
      </c>
      <c r="F71" s="20" t="n">
        <v>1.80451495</v>
      </c>
      <c r="G71" s="18" t="n">
        <v>84.2318215</v>
      </c>
      <c r="H71" s="20" t="n">
        <v>2.05223484</v>
      </c>
      <c r="I71" s="18" t="s">
        <v>349</v>
      </c>
      <c r="J71" s="20" t="s">
        <v>349</v>
      </c>
      <c r="K71" s="18" t="n">
        <v>0.5102401600000001</v>
      </c>
      <c r="L71" s="20" t="n">
        <v>0.34815741</v>
      </c>
      <c r="M71" s="18" t="n">
        <v>0</v>
      </c>
      <c r="N71" s="20" t="n">
        <v>0</v>
      </c>
      <c r="O71" s="18" t="n">
        <v>0</v>
      </c>
      <c r="P71" s="20" t="n">
        <v>0</v>
      </c>
      <c r="Q71" s="18" t="n">
        <v>2.45265023</v>
      </c>
      <c r="R71" s="20" t="n">
        <v>0.80793807</v>
      </c>
    </row>
    <row r="72" spans="1:18">
      <c r="A72" s="15" t="s">
        <v>414</v>
      </c>
      <c r="B72" s="17" t="n">
        <v>3889</v>
      </c>
      <c r="C72" s="18">
        <f>(3408.0/B72*100)</f>
        <v/>
      </c>
      <c r="D72" s="19" t="n">
        <v>481</v>
      </c>
      <c r="E72" s="18" t="n">
        <v>18.41702976</v>
      </c>
      <c r="F72" s="20" t="n">
        <v>1.7627691</v>
      </c>
      <c r="G72" s="18" t="n">
        <v>78.68735823999999</v>
      </c>
      <c r="H72" s="20" t="n">
        <v>2.01069466</v>
      </c>
      <c r="I72" s="18" t="s">
        <v>349</v>
      </c>
      <c r="J72" s="20" t="s">
        <v>349</v>
      </c>
      <c r="K72" s="18" t="n">
        <v>0.14151252</v>
      </c>
      <c r="L72" s="20" t="n">
        <v>0.1412392</v>
      </c>
      <c r="M72" s="18" t="n">
        <v>0</v>
      </c>
      <c r="N72" s="20" t="n">
        <v>0</v>
      </c>
      <c r="O72" s="18" t="n">
        <v>0</v>
      </c>
      <c r="P72" s="20" t="n">
        <v>0</v>
      </c>
      <c r="Q72" s="18" t="n">
        <v>2.75409948</v>
      </c>
      <c r="R72" s="20" t="n">
        <v>0.70656583</v>
      </c>
    </row>
    <row r="73" spans="1:18">
      <c r="A73" s="15" t="s">
        <v>415</v>
      </c>
      <c r="B73" s="17" t="n">
        <v>3597</v>
      </c>
      <c r="C73" s="18">
        <f>(3169.0/B73*100)</f>
        <v/>
      </c>
      <c r="D73" s="19" t="n">
        <v>428</v>
      </c>
      <c r="E73" s="18" t="n">
        <v>56.10280199</v>
      </c>
      <c r="F73" s="20" t="n">
        <v>3.2744254</v>
      </c>
      <c r="G73" s="18" t="n">
        <v>40.77451597</v>
      </c>
      <c r="H73" s="20" t="n">
        <v>3.24774987</v>
      </c>
      <c r="I73" s="18" t="s">
        <v>349</v>
      </c>
      <c r="J73" s="20" t="s">
        <v>349</v>
      </c>
      <c r="K73" s="18" t="n">
        <v>0</v>
      </c>
      <c r="L73" s="20" t="n">
        <v>0</v>
      </c>
      <c r="M73" s="18" t="n">
        <v>0</v>
      </c>
      <c r="N73" s="20" t="n">
        <v>0</v>
      </c>
      <c r="O73" s="18" t="n">
        <v>0</v>
      </c>
      <c r="P73" s="20" t="n">
        <v>0</v>
      </c>
      <c r="Q73" s="18" t="n">
        <v>3.12268203</v>
      </c>
      <c r="R73" s="20" t="n">
        <v>1.24231426</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(2118.0/B75*100)</f>
        <v/>
      </c>
      <c r="D75" s="19" t="n">
        <v>288</v>
      </c>
      <c r="E75" s="18" t="n">
        <v>30.79598467</v>
      </c>
      <c r="F75" s="20" t="n">
        <v>2.81219123</v>
      </c>
      <c r="G75" s="18" t="n">
        <v>58.60263972</v>
      </c>
      <c r="H75" s="20" t="n">
        <v>3.44496704</v>
      </c>
      <c r="I75" s="18" t="s">
        <v>349</v>
      </c>
      <c r="J75" s="20" t="s">
        <v>349</v>
      </c>
      <c r="K75" s="18" t="n">
        <v>1.40675928</v>
      </c>
      <c r="L75" s="20" t="n">
        <v>0.65307595</v>
      </c>
      <c r="M75" s="18" t="n">
        <v>0</v>
      </c>
      <c r="N75" s="20" t="n">
        <v>0</v>
      </c>
      <c r="O75" s="18" t="n">
        <v>0</v>
      </c>
      <c r="P75" s="20" t="n">
        <v>0</v>
      </c>
      <c r="Q75" s="18" t="n">
        <v>9.194616330000001</v>
      </c>
      <c r="R75" s="20" t="n">
        <v>1.9857521</v>
      </c>
    </row>
    <row r="76" spans="1:18">
      <c r="A76" s="15" t="s">
        <v>418</v>
      </c>
      <c r="B76" s="17" t="n">
        <v>7052</v>
      </c>
      <c r="C76" s="18">
        <f>(6196.0/B76*100)</f>
        <v/>
      </c>
      <c r="D76" s="19" t="n">
        <v>856</v>
      </c>
      <c r="E76" s="18" t="n">
        <v>38.95980599</v>
      </c>
      <c r="F76" s="20" t="n">
        <v>2.17649214</v>
      </c>
      <c r="G76" s="18" t="n">
        <v>56.56674892</v>
      </c>
      <c r="H76" s="20" t="n">
        <v>2.22938151</v>
      </c>
      <c r="I76" s="18" t="s">
        <v>349</v>
      </c>
      <c r="J76" s="20" t="s">
        <v>349</v>
      </c>
      <c r="K76" s="18" t="n">
        <v>1.23405066</v>
      </c>
      <c r="L76" s="20" t="n">
        <v>0.40267629</v>
      </c>
      <c r="M76" s="18" t="n">
        <v>0</v>
      </c>
      <c r="N76" s="20" t="n">
        <v>0</v>
      </c>
      <c r="O76" s="18" t="n">
        <v>0</v>
      </c>
      <c r="P76" s="20" t="n">
        <v>0</v>
      </c>
      <c r="Q76" s="18" t="n">
        <v>3.23939443</v>
      </c>
      <c r="R76" s="20" t="n">
        <v>0.66687027</v>
      </c>
    </row>
    <row r="77" spans="1:18">
      <c r="A77" s="15" t="s">
        <v>419</v>
      </c>
      <c r="B77" s="17" t="n">
        <v>2908</v>
      </c>
      <c r="C77" s="18">
        <f>(2542.0/B77*100)</f>
        <v/>
      </c>
      <c r="D77" s="19" t="n">
        <v>366</v>
      </c>
      <c r="E77" s="18" t="n">
        <v>30.88499461</v>
      </c>
      <c r="F77" s="20" t="n">
        <v>2.19255183</v>
      </c>
      <c r="G77" s="18" t="n">
        <v>51.20356161</v>
      </c>
      <c r="H77" s="20" t="n">
        <v>2.74395029</v>
      </c>
      <c r="I77" s="18" t="s">
        <v>349</v>
      </c>
      <c r="J77" s="20" t="s">
        <v>349</v>
      </c>
      <c r="K77" s="18" t="n">
        <v>2.83052674</v>
      </c>
      <c r="L77" s="20" t="n">
        <v>0.95388949</v>
      </c>
      <c r="M77" s="18" t="n">
        <v>0</v>
      </c>
      <c r="N77" s="20" t="n">
        <v>0</v>
      </c>
      <c r="O77" s="18" t="n">
        <v>0</v>
      </c>
      <c r="P77" s="20" t="n">
        <v>0</v>
      </c>
      <c r="Q77" s="18" t="n">
        <v>15.08091704</v>
      </c>
      <c r="R77" s="20" t="n">
        <v>2.00858392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(3653.0/B81*100)</f>
        <v/>
      </c>
      <c r="D81" s="19" t="n">
        <v>510</v>
      </c>
      <c r="E81" s="18" t="n">
        <v>30.10437712</v>
      </c>
      <c r="F81" s="20" t="n">
        <v>2.93074253</v>
      </c>
      <c r="G81" s="18" t="n">
        <v>68.3430833</v>
      </c>
      <c r="H81" s="20" t="n">
        <v>2.91368208</v>
      </c>
      <c r="I81" s="18" t="s">
        <v>349</v>
      </c>
      <c r="J81" s="20" t="s">
        <v>349</v>
      </c>
      <c r="K81" s="18" t="n">
        <v>0.63822716</v>
      </c>
      <c r="L81" s="20" t="n">
        <v>0.38370816</v>
      </c>
      <c r="M81" s="18" t="n">
        <v>0</v>
      </c>
      <c r="N81" s="20" t="n">
        <v>0</v>
      </c>
      <c r="O81" s="18" t="n">
        <v>0</v>
      </c>
      <c r="P81" s="20" t="n">
        <v>0</v>
      </c>
      <c r="Q81" s="18" t="n">
        <v>0.91431242</v>
      </c>
      <c r="R81" s="20" t="n">
        <v>0.54343579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(6494.0/B7*100)</f>
        <v/>
      </c>
      <c r="D7" s="19" t="n">
        <v>873</v>
      </c>
      <c r="E7" s="18" t="n">
        <v>35.82769371</v>
      </c>
      <c r="F7" s="20" t="n">
        <v>1.97437588</v>
      </c>
      <c r="G7" s="18" t="n">
        <v>62.27801058</v>
      </c>
      <c r="H7" s="20" t="n">
        <v>1.9102217</v>
      </c>
      <c r="I7" s="18" t="s">
        <v>349</v>
      </c>
      <c r="J7" s="20" t="s">
        <v>349</v>
      </c>
      <c r="K7" s="18" t="n">
        <v>0.9169437</v>
      </c>
      <c r="L7" s="20" t="n">
        <v>0.37774698</v>
      </c>
      <c r="M7" s="18" t="n">
        <v>0</v>
      </c>
      <c r="N7" s="20" t="n">
        <v>0</v>
      </c>
      <c r="O7" s="18" t="n">
        <v>0</v>
      </c>
      <c r="P7" s="20" t="n">
        <v>0</v>
      </c>
      <c r="Q7" s="18" t="n">
        <v>0.97735201</v>
      </c>
      <c r="R7" s="20" t="n">
        <v>0.48626767</v>
      </c>
    </row>
    <row r="8" spans="1:18">
      <c r="A8" s="15" t="s">
        <v>350</v>
      </c>
      <c r="B8" s="17" t="n">
        <v>3564</v>
      </c>
      <c r="C8" s="18">
        <f>(3100.0/B8*100)</f>
        <v/>
      </c>
      <c r="D8" s="19" t="n">
        <v>464</v>
      </c>
      <c r="E8" s="18" t="n">
        <v>28.46347618</v>
      </c>
      <c r="F8" s="20" t="n">
        <v>2.31844053</v>
      </c>
      <c r="G8" s="18" t="n">
        <v>70.29713567</v>
      </c>
      <c r="H8" s="20" t="n">
        <v>2.22409501</v>
      </c>
      <c r="I8" s="18" t="s">
        <v>349</v>
      </c>
      <c r="J8" s="20" t="s">
        <v>349</v>
      </c>
      <c r="K8" s="18" t="n">
        <v>0.79133401</v>
      </c>
      <c r="L8" s="20" t="n">
        <v>0.4278157</v>
      </c>
      <c r="M8" s="18" t="n">
        <v>0</v>
      </c>
      <c r="N8" s="20" t="n">
        <v>0</v>
      </c>
      <c r="O8" s="18" t="n">
        <v>0</v>
      </c>
      <c r="P8" s="20" t="n">
        <v>0</v>
      </c>
      <c r="Q8" s="18" t="n">
        <v>0.44805415</v>
      </c>
      <c r="R8" s="20" t="n">
        <v>0.26447573</v>
      </c>
    </row>
    <row r="9" spans="1:18">
      <c r="A9" s="15" t="s">
        <v>351</v>
      </c>
      <c r="B9" s="17" t="n">
        <v>4899</v>
      </c>
      <c r="C9" s="18">
        <f>(4322.0/B9*100)</f>
        <v/>
      </c>
      <c r="D9" s="19" t="n">
        <v>577</v>
      </c>
      <c r="E9" s="18" t="n">
        <v>24.35673305</v>
      </c>
      <c r="F9" s="20" t="n">
        <v>1.89540698</v>
      </c>
      <c r="G9" s="18" t="n">
        <v>75.05739488</v>
      </c>
      <c r="H9" s="20" t="n">
        <v>1.91226283</v>
      </c>
      <c r="I9" s="18" t="s">
        <v>349</v>
      </c>
      <c r="J9" s="20" t="s">
        <v>349</v>
      </c>
      <c r="K9" s="18" t="n">
        <v>0.21166175</v>
      </c>
      <c r="L9" s="20" t="n">
        <v>0.2069367</v>
      </c>
      <c r="M9" s="18" t="n">
        <v>0</v>
      </c>
      <c r="N9" s="20" t="n">
        <v>0</v>
      </c>
      <c r="O9" s="18" t="n">
        <v>0</v>
      </c>
      <c r="P9" s="20" t="n">
        <v>0</v>
      </c>
      <c r="Q9" s="18" t="n">
        <v>0.37421032</v>
      </c>
      <c r="R9" s="20" t="n">
        <v>0.23951771</v>
      </c>
    </row>
    <row r="10" spans="1:18">
      <c r="A10" s="15" t="s">
        <v>352</v>
      </c>
      <c r="B10" s="17" t="n">
        <v>10036</v>
      </c>
      <c r="C10" s="18">
        <f>(8815.0/B10*100)</f>
        <v/>
      </c>
      <c r="D10" s="19" t="n">
        <v>1221</v>
      </c>
      <c r="E10" s="18" t="n">
        <v>34.71316835</v>
      </c>
      <c r="F10" s="20" t="n">
        <v>2.11746328</v>
      </c>
      <c r="G10" s="18" t="n">
        <v>64.19933039999999</v>
      </c>
      <c r="H10" s="20" t="n">
        <v>2.06804338</v>
      </c>
      <c r="I10" s="18" t="s">
        <v>349</v>
      </c>
      <c r="J10" s="20" t="s">
        <v>349</v>
      </c>
      <c r="K10" s="18" t="n">
        <v>0.93605684</v>
      </c>
      <c r="L10" s="20" t="n">
        <v>0.40335168</v>
      </c>
      <c r="M10" s="18" t="n">
        <v>0</v>
      </c>
      <c r="N10" s="20" t="n">
        <v>0</v>
      </c>
      <c r="O10" s="18" t="n">
        <v>0</v>
      </c>
      <c r="P10" s="20" t="n">
        <v>0</v>
      </c>
      <c r="Q10" s="18" t="n">
        <v>0.15144441</v>
      </c>
      <c r="R10" s="20" t="n">
        <v>0.11250321</v>
      </c>
    </row>
    <row r="11" spans="1:18">
      <c r="A11" s="15" t="s">
        <v>353</v>
      </c>
      <c r="B11" s="17" t="n">
        <v>3553</v>
      </c>
      <c r="C11" s="18">
        <f>(3111.0/B11*100)</f>
        <v/>
      </c>
      <c r="D11" s="19" t="n">
        <v>442</v>
      </c>
      <c r="E11" s="18" t="n">
        <v>45.91316936</v>
      </c>
      <c r="F11" s="20" t="n">
        <v>2.8531036</v>
      </c>
      <c r="G11" s="18" t="n">
        <v>50.09497251</v>
      </c>
      <c r="H11" s="20" t="n">
        <v>2.79585898</v>
      </c>
      <c r="I11" s="18" t="s">
        <v>349</v>
      </c>
      <c r="J11" s="20" t="s">
        <v>349</v>
      </c>
      <c r="K11" s="18" t="n">
        <v>2.89865078</v>
      </c>
      <c r="L11" s="20" t="n">
        <v>1.0469697</v>
      </c>
      <c r="M11" s="18" t="n">
        <v>0</v>
      </c>
      <c r="N11" s="20" t="n">
        <v>0</v>
      </c>
      <c r="O11" s="18" t="n">
        <v>0</v>
      </c>
      <c r="P11" s="20" t="n">
        <v>0</v>
      </c>
      <c r="Q11" s="18" t="n">
        <v>1.09320735</v>
      </c>
      <c r="R11" s="20" t="n">
        <v>0.53087283</v>
      </c>
    </row>
    <row r="12" spans="1:18">
      <c r="A12" s="15" t="s">
        <v>354</v>
      </c>
      <c r="B12" s="17" t="n">
        <v>3472</v>
      </c>
      <c r="C12" s="18">
        <f>(3046.0/B12*100)</f>
        <v/>
      </c>
      <c r="D12" s="19" t="n">
        <v>426</v>
      </c>
      <c r="E12" s="18" t="n">
        <v>25.84250473</v>
      </c>
      <c r="F12" s="20" t="n">
        <v>2.62439381</v>
      </c>
      <c r="G12" s="18" t="n">
        <v>73.26352197</v>
      </c>
      <c r="H12" s="20" t="n">
        <v>2.6866292</v>
      </c>
      <c r="I12" s="18" t="s">
        <v>349</v>
      </c>
      <c r="J12" s="20" t="s">
        <v>349</v>
      </c>
      <c r="K12" s="18" t="n">
        <v>0.49356023</v>
      </c>
      <c r="L12" s="20" t="n">
        <v>0.54243112</v>
      </c>
      <c r="M12" s="18" t="n">
        <v>0</v>
      </c>
      <c r="N12" s="20" t="n">
        <v>0</v>
      </c>
      <c r="O12" s="18" t="n">
        <v>0</v>
      </c>
      <c r="P12" s="20" t="n">
        <v>0</v>
      </c>
      <c r="Q12" s="18" t="n">
        <v>0.40041308</v>
      </c>
      <c r="R12" s="20" t="n">
        <v>0.29100814</v>
      </c>
    </row>
    <row r="13" spans="1:18">
      <c r="A13" s="15" t="s">
        <v>355</v>
      </c>
      <c r="B13" s="17" t="n">
        <v>3559</v>
      </c>
      <c r="C13" s="18">
        <f>(3129.0/B13*100)</f>
        <v/>
      </c>
      <c r="D13" s="19" t="n">
        <v>430</v>
      </c>
      <c r="E13" s="18" t="n">
        <v>20.29729257</v>
      </c>
      <c r="F13" s="20" t="n">
        <v>2.38892597</v>
      </c>
      <c r="G13" s="18" t="n">
        <v>78.98044274</v>
      </c>
      <c r="H13" s="20" t="n">
        <v>2.42121466</v>
      </c>
      <c r="I13" s="18" t="s">
        <v>349</v>
      </c>
      <c r="J13" s="20" t="s">
        <v>349</v>
      </c>
      <c r="K13" s="18" t="n">
        <v>0.55987015</v>
      </c>
      <c r="L13" s="20" t="n">
        <v>0.37729887</v>
      </c>
      <c r="M13" s="18" t="n">
        <v>0</v>
      </c>
      <c r="N13" s="20" t="n">
        <v>0</v>
      </c>
      <c r="O13" s="18" t="n">
        <v>0</v>
      </c>
      <c r="P13" s="20" t="n">
        <v>0</v>
      </c>
      <c r="Q13" s="18" t="n">
        <v>0.16239454</v>
      </c>
      <c r="R13" s="20" t="n">
        <v>0.12266979</v>
      </c>
    </row>
    <row r="14" spans="1:18">
      <c r="A14" s="15" t="s">
        <v>356</v>
      </c>
      <c r="B14" s="17" t="n">
        <v>2799</v>
      </c>
      <c r="C14" s="18">
        <f>(2473.0/B14*100)</f>
        <v/>
      </c>
      <c r="D14" s="19" t="n">
        <v>326</v>
      </c>
      <c r="E14" s="18" t="n">
        <v>23.79843648</v>
      </c>
      <c r="F14" s="20" t="n">
        <v>2.85931234</v>
      </c>
      <c r="G14" s="18" t="n">
        <v>75.43866079</v>
      </c>
      <c r="H14" s="20" t="n">
        <v>2.90495203</v>
      </c>
      <c r="I14" s="18" t="s">
        <v>349</v>
      </c>
      <c r="J14" s="20" t="s">
        <v>349</v>
      </c>
      <c r="K14" s="18" t="n">
        <v>0.43786579</v>
      </c>
      <c r="L14" s="20" t="n">
        <v>0.31504191</v>
      </c>
      <c r="M14" s="18" t="n">
        <v>0</v>
      </c>
      <c r="N14" s="20" t="n">
        <v>0</v>
      </c>
      <c r="O14" s="18" t="n">
        <v>0</v>
      </c>
      <c r="P14" s="20" t="n">
        <v>0</v>
      </c>
      <c r="Q14" s="18" t="n">
        <v>0.32503695</v>
      </c>
      <c r="R14" s="20" t="n">
        <v>0.27872706</v>
      </c>
    </row>
    <row r="15" spans="1:18">
      <c r="A15" s="15" t="s">
        <v>357</v>
      </c>
      <c r="B15" s="17" t="n">
        <v>3019</v>
      </c>
      <c r="C15" s="18">
        <f>(2646.0/B15*100)</f>
        <v/>
      </c>
      <c r="D15" s="19" t="n">
        <v>373</v>
      </c>
      <c r="E15" s="18" t="n">
        <v>29.96717696</v>
      </c>
      <c r="F15" s="20" t="n">
        <v>2.59856118</v>
      </c>
      <c r="G15" s="18" t="n">
        <v>69.2462094</v>
      </c>
      <c r="H15" s="20" t="n">
        <v>2.59026131</v>
      </c>
      <c r="I15" s="18" t="s">
        <v>349</v>
      </c>
      <c r="J15" s="20" t="s">
        <v>349</v>
      </c>
      <c r="K15" s="18" t="n">
        <v>0.52964628</v>
      </c>
      <c r="L15" s="20" t="n">
        <v>0.37386651</v>
      </c>
      <c r="M15" s="18" t="n">
        <v>0</v>
      </c>
      <c r="N15" s="20" t="n">
        <v>0</v>
      </c>
      <c r="O15" s="18" t="n">
        <v>0</v>
      </c>
      <c r="P15" s="20" t="n">
        <v>0</v>
      </c>
      <c r="Q15" s="18" t="n">
        <v>0.25696736</v>
      </c>
      <c r="R15" s="20" t="n">
        <v>0.25759299</v>
      </c>
    </row>
    <row r="16" spans="1:18">
      <c r="A16" s="15" t="s">
        <v>358</v>
      </c>
      <c r="B16" s="17" t="n">
        <v>2997</v>
      </c>
      <c r="C16" s="18">
        <f>(2619.0/B16*100)</f>
        <v/>
      </c>
      <c r="D16" s="19" t="n">
        <v>378</v>
      </c>
      <c r="E16" s="18" t="n">
        <v>34.74994728</v>
      </c>
      <c r="F16" s="20" t="n">
        <v>2.54164442</v>
      </c>
      <c r="G16" s="18" t="n">
        <v>62.81634097</v>
      </c>
      <c r="H16" s="20" t="n">
        <v>2.63940437</v>
      </c>
      <c r="I16" s="18" t="s">
        <v>349</v>
      </c>
      <c r="J16" s="20" t="s">
        <v>349</v>
      </c>
      <c r="K16" s="18" t="n">
        <v>1.23228036</v>
      </c>
      <c r="L16" s="20" t="n">
        <v>0.6542322699999999</v>
      </c>
      <c r="M16" s="18" t="n">
        <v>0</v>
      </c>
      <c r="N16" s="20" t="n">
        <v>0</v>
      </c>
      <c r="O16" s="18" t="n">
        <v>0</v>
      </c>
      <c r="P16" s="20" t="n">
        <v>0</v>
      </c>
      <c r="Q16" s="18" t="n">
        <v>1.20143138</v>
      </c>
      <c r="R16" s="20" t="n">
        <v>0.53773412</v>
      </c>
    </row>
    <row r="17" spans="1:18">
      <c r="A17" s="15" t="s">
        <v>359</v>
      </c>
      <c r="B17" s="17" t="n">
        <v>3307</v>
      </c>
      <c r="C17" s="18">
        <f>(2889.0/B17*100)</f>
        <v/>
      </c>
      <c r="D17" s="19" t="n">
        <v>418</v>
      </c>
      <c r="E17" s="18" t="n">
        <v>27.73339798</v>
      </c>
      <c r="F17" s="20" t="n">
        <v>2.21026021</v>
      </c>
      <c r="G17" s="18" t="n">
        <v>69.74101232</v>
      </c>
      <c r="H17" s="20" t="n">
        <v>2.41450846</v>
      </c>
      <c r="I17" s="18" t="s">
        <v>349</v>
      </c>
      <c r="J17" s="20" t="s">
        <v>349</v>
      </c>
      <c r="K17" s="18" t="n">
        <v>1.43790862</v>
      </c>
      <c r="L17" s="20" t="n">
        <v>0.84249582</v>
      </c>
      <c r="M17" s="18" t="n">
        <v>0</v>
      </c>
      <c r="N17" s="20" t="n">
        <v>0</v>
      </c>
      <c r="O17" s="18" t="n">
        <v>0</v>
      </c>
      <c r="P17" s="20" t="n">
        <v>0</v>
      </c>
      <c r="Q17" s="18" t="n">
        <v>1.08768108</v>
      </c>
      <c r="R17" s="20" t="n">
        <v>0.47758502</v>
      </c>
    </row>
    <row r="18" spans="1:18">
      <c r="A18" s="15" t="s">
        <v>360</v>
      </c>
      <c r="B18" s="17" t="n">
        <v>2826</v>
      </c>
      <c r="C18" s="18">
        <f>(2483.0/B18*100)</f>
        <v/>
      </c>
      <c r="D18" s="19" t="n">
        <v>343</v>
      </c>
      <c r="E18" s="18" t="n">
        <v>48.21874358</v>
      </c>
      <c r="F18" s="20" t="n">
        <v>3.1686747</v>
      </c>
      <c r="G18" s="18" t="n">
        <v>48.91894466</v>
      </c>
      <c r="H18" s="20" t="n">
        <v>2.91149339</v>
      </c>
      <c r="I18" s="18" t="s">
        <v>349</v>
      </c>
      <c r="J18" s="20" t="s">
        <v>349</v>
      </c>
      <c r="K18" s="18" t="n">
        <v>1.84024592</v>
      </c>
      <c r="L18" s="20" t="n">
        <v>1.02177778</v>
      </c>
      <c r="M18" s="18" t="n">
        <v>0</v>
      </c>
      <c r="N18" s="20" t="n">
        <v>0</v>
      </c>
      <c r="O18" s="18" t="n">
        <v>0</v>
      </c>
      <c r="P18" s="20" t="n">
        <v>0</v>
      </c>
      <c r="Q18" s="18" t="n">
        <v>1.02206583</v>
      </c>
      <c r="R18" s="20" t="n">
        <v>0.51784719</v>
      </c>
    </row>
    <row r="19" spans="1:18">
      <c r="A19" s="15" t="s">
        <v>361</v>
      </c>
      <c r="B19" s="17" t="n">
        <v>2808</v>
      </c>
      <c r="C19" s="18">
        <f>(2468.0/B19*100)</f>
        <v/>
      </c>
      <c r="D19" s="19" t="n">
        <v>340</v>
      </c>
      <c r="E19" s="18" t="n">
        <v>41.06302404</v>
      </c>
      <c r="F19" s="20" t="n">
        <v>3.38777537</v>
      </c>
      <c r="G19" s="18" t="n">
        <v>58.19548051</v>
      </c>
      <c r="H19" s="20" t="n">
        <v>3.42796157</v>
      </c>
      <c r="I19" s="18" t="s">
        <v>349</v>
      </c>
      <c r="J19" s="20" t="s">
        <v>349</v>
      </c>
      <c r="K19" s="18" t="n">
        <v>0.45769223</v>
      </c>
      <c r="L19" s="20" t="n">
        <v>0.32854184</v>
      </c>
      <c r="M19" s="18" t="n">
        <v>0</v>
      </c>
      <c r="N19" s="20" t="n">
        <v>0</v>
      </c>
      <c r="O19" s="18" t="n">
        <v>0</v>
      </c>
      <c r="P19" s="20" t="n">
        <v>0</v>
      </c>
      <c r="Q19" s="18" t="n">
        <v>0.28380322</v>
      </c>
      <c r="R19" s="20" t="n">
        <v>0.28916631</v>
      </c>
    </row>
    <row r="20" spans="1:18">
      <c r="A20" s="15" t="s">
        <v>362</v>
      </c>
      <c r="B20" s="17" t="n">
        <v>1630</v>
      </c>
      <c r="C20" s="18">
        <f>(1424.0/B20*100)</f>
        <v/>
      </c>
      <c r="D20" s="19" t="n">
        <v>206</v>
      </c>
      <c r="E20" s="18" t="n">
        <v>29.25805813</v>
      </c>
      <c r="F20" s="20" t="n">
        <v>2.90117599</v>
      </c>
      <c r="G20" s="18" t="n">
        <v>69.85530697</v>
      </c>
      <c r="H20" s="20" t="n">
        <v>2.85214978</v>
      </c>
      <c r="I20" s="18" t="s">
        <v>349</v>
      </c>
      <c r="J20" s="20" t="s">
        <v>349</v>
      </c>
      <c r="K20" s="18" t="n">
        <v>0.45962615</v>
      </c>
      <c r="L20" s="20" t="n">
        <v>0.46144935</v>
      </c>
      <c r="M20" s="18" t="n">
        <v>0</v>
      </c>
      <c r="N20" s="20" t="n">
        <v>0</v>
      </c>
      <c r="O20" s="18" t="n">
        <v>0</v>
      </c>
      <c r="P20" s="20" t="n">
        <v>0</v>
      </c>
      <c r="Q20" s="18" t="n">
        <v>0.42700875</v>
      </c>
      <c r="R20" s="20" t="n">
        <v>0.42499896</v>
      </c>
    </row>
    <row r="21" spans="1:18">
      <c r="A21" s="15" t="s">
        <v>363</v>
      </c>
      <c r="B21" s="17" t="n">
        <v>2908</v>
      </c>
      <c r="C21" s="18">
        <f>(2408.0/B21*100)</f>
        <v/>
      </c>
      <c r="D21" s="19" t="n">
        <v>500</v>
      </c>
      <c r="E21" s="18" t="n">
        <v>27.633927</v>
      </c>
      <c r="F21" s="20" t="n">
        <v>2.29961348</v>
      </c>
      <c r="G21" s="18" t="n">
        <v>70.97425880999999</v>
      </c>
      <c r="H21" s="20" t="n">
        <v>2.37913132</v>
      </c>
      <c r="I21" s="18" t="s">
        <v>349</v>
      </c>
      <c r="J21" s="20" t="s">
        <v>349</v>
      </c>
      <c r="K21" s="18" t="n">
        <v>1.39181419</v>
      </c>
      <c r="L21" s="20" t="n">
        <v>0.59384356</v>
      </c>
      <c r="M21" s="18" t="n">
        <v>0</v>
      </c>
      <c r="N21" s="20" t="n">
        <v>0</v>
      </c>
      <c r="O21" s="18" t="n">
        <v>0</v>
      </c>
      <c r="P21" s="20" t="n">
        <v>0</v>
      </c>
      <c r="Q21" s="18" t="n">
        <v>0</v>
      </c>
      <c r="R21" s="20" t="n">
        <v>0</v>
      </c>
    </row>
    <row r="22" spans="1:18">
      <c r="A22" s="15" t="s">
        <v>364</v>
      </c>
      <c r="B22" s="17" t="n">
        <v>2931</v>
      </c>
      <c r="C22" s="18">
        <f>(2563.0/B22*100)</f>
        <v/>
      </c>
      <c r="D22" s="19" t="n">
        <v>368</v>
      </c>
      <c r="E22" s="18" t="n">
        <v>38.57205027</v>
      </c>
      <c r="F22" s="20" t="n">
        <v>2.73884636</v>
      </c>
      <c r="G22" s="18" t="n">
        <v>58.21400851</v>
      </c>
      <c r="H22" s="20" t="n">
        <v>3.05772974</v>
      </c>
      <c r="I22" s="18" t="s">
        <v>349</v>
      </c>
      <c r="J22" s="20" t="s">
        <v>349</v>
      </c>
      <c r="K22" s="18" t="n">
        <v>1.63739645</v>
      </c>
      <c r="L22" s="20" t="n">
        <v>0.8649568</v>
      </c>
      <c r="M22" s="18" t="n">
        <v>0</v>
      </c>
      <c r="N22" s="20" t="n">
        <v>0</v>
      </c>
      <c r="O22" s="18" t="n">
        <v>0</v>
      </c>
      <c r="P22" s="20" t="n">
        <v>0</v>
      </c>
      <c r="Q22" s="18" t="n">
        <v>1.57654476</v>
      </c>
      <c r="R22" s="20" t="n">
        <v>0.66930475</v>
      </c>
    </row>
    <row r="23" spans="1:18">
      <c r="A23" s="15" t="s">
        <v>365</v>
      </c>
      <c r="B23" s="17" t="n">
        <v>5791</v>
      </c>
      <c r="C23" s="18">
        <f>(5093.0/B23*100)</f>
        <v/>
      </c>
      <c r="D23" s="19" t="n">
        <v>698</v>
      </c>
      <c r="E23" s="18" t="n">
        <v>34.35337903</v>
      </c>
      <c r="F23" s="20" t="n">
        <v>2.18078725</v>
      </c>
      <c r="G23" s="18" t="n">
        <v>62.80617021</v>
      </c>
      <c r="H23" s="20" t="n">
        <v>2.36679988</v>
      </c>
      <c r="I23" s="18" t="s">
        <v>349</v>
      </c>
      <c r="J23" s="20" t="s">
        <v>349</v>
      </c>
      <c r="K23" s="18" t="n">
        <v>0.89557584</v>
      </c>
      <c r="L23" s="20" t="n">
        <v>0.43864049</v>
      </c>
      <c r="M23" s="18" t="n">
        <v>0</v>
      </c>
      <c r="N23" s="20" t="n">
        <v>0</v>
      </c>
      <c r="O23" s="18" t="n">
        <v>0</v>
      </c>
      <c r="P23" s="20" t="n">
        <v>0</v>
      </c>
      <c r="Q23" s="18" t="n">
        <v>1.94487493</v>
      </c>
      <c r="R23" s="20" t="n">
        <v>0.79657107</v>
      </c>
    </row>
    <row r="24" spans="1:18">
      <c r="A24" s="15" t="s">
        <v>366</v>
      </c>
      <c r="B24" s="17" t="n">
        <v>3338</v>
      </c>
      <c r="C24" s="18">
        <f>(2944.0/B24*100)</f>
        <v/>
      </c>
      <c r="D24" s="19" t="n">
        <v>394</v>
      </c>
      <c r="E24" s="18" t="n">
        <v>31.14077254</v>
      </c>
      <c r="F24" s="20" t="n">
        <v>2.49853122</v>
      </c>
      <c r="G24" s="18" t="n">
        <v>67.81485723</v>
      </c>
      <c r="H24" s="20" t="n">
        <v>2.47152208</v>
      </c>
      <c r="I24" s="18" t="s">
        <v>349</v>
      </c>
      <c r="J24" s="20" t="s">
        <v>349</v>
      </c>
      <c r="K24" s="18" t="n">
        <v>0.53042984</v>
      </c>
      <c r="L24" s="20" t="n">
        <v>0.3852335</v>
      </c>
      <c r="M24" s="18" t="n">
        <v>0</v>
      </c>
      <c r="N24" s="20" t="n">
        <v>0</v>
      </c>
      <c r="O24" s="18" t="n">
        <v>0</v>
      </c>
      <c r="P24" s="20" t="n">
        <v>0</v>
      </c>
      <c r="Q24" s="18" t="n">
        <v>0.51394039</v>
      </c>
      <c r="R24" s="20" t="n">
        <v>0.35864233</v>
      </c>
    </row>
    <row r="25" spans="1:18">
      <c r="A25" s="15" t="s">
        <v>367</v>
      </c>
      <c r="B25" s="17" t="n">
        <v>2912</v>
      </c>
      <c r="C25" s="18">
        <f>(2558.0/B25*100)</f>
        <v/>
      </c>
      <c r="D25" s="19" t="n">
        <v>354</v>
      </c>
      <c r="E25" s="18" t="n">
        <v>37.44912448</v>
      </c>
      <c r="F25" s="20" t="n">
        <v>2.74475889</v>
      </c>
      <c r="G25" s="18" t="n">
        <v>61.6486059</v>
      </c>
      <c r="H25" s="20" t="n">
        <v>2.67569464</v>
      </c>
      <c r="I25" s="18" t="s">
        <v>349</v>
      </c>
      <c r="J25" s="20" t="s">
        <v>349</v>
      </c>
      <c r="K25" s="18" t="n">
        <v>0.58845731</v>
      </c>
      <c r="L25" s="20" t="n">
        <v>0.42113335</v>
      </c>
      <c r="M25" s="18" t="n">
        <v>0</v>
      </c>
      <c r="N25" s="20" t="n">
        <v>0</v>
      </c>
      <c r="O25" s="18" t="n">
        <v>0</v>
      </c>
      <c r="P25" s="20" t="n">
        <v>0</v>
      </c>
      <c r="Q25" s="18" t="n">
        <v>0.31381231</v>
      </c>
      <c r="R25" s="20" t="n">
        <v>0.31199486</v>
      </c>
    </row>
    <row r="26" spans="1:18">
      <c r="A26" s="15" t="s">
        <v>368</v>
      </c>
      <c r="B26" s="17" t="n">
        <v>2450</v>
      </c>
      <c r="C26" s="18">
        <f>(2153.0/B26*100)</f>
        <v/>
      </c>
      <c r="D26" s="19" t="n">
        <v>297</v>
      </c>
      <c r="E26" s="18" t="n">
        <v>37.97414911</v>
      </c>
      <c r="F26" s="20" t="n">
        <v>3.25826458</v>
      </c>
      <c r="G26" s="18" t="n">
        <v>61.44751137</v>
      </c>
      <c r="H26" s="20" t="n">
        <v>3.33094887</v>
      </c>
      <c r="I26" s="18" t="s">
        <v>349</v>
      </c>
      <c r="J26" s="20" t="s">
        <v>349</v>
      </c>
      <c r="K26" s="18" t="n">
        <v>0.27460344</v>
      </c>
      <c r="L26" s="20" t="n">
        <v>0.24028114</v>
      </c>
      <c r="M26" s="18" t="n">
        <v>0</v>
      </c>
      <c r="N26" s="20" t="n">
        <v>0</v>
      </c>
      <c r="O26" s="18" t="n">
        <v>0</v>
      </c>
      <c r="P26" s="20" t="n">
        <v>0</v>
      </c>
      <c r="Q26" s="18" t="n">
        <v>0.30373609</v>
      </c>
      <c r="R26" s="20" t="n">
        <v>0.32950627</v>
      </c>
    </row>
    <row r="27" spans="1:18">
      <c r="A27" s="15" t="s">
        <v>369</v>
      </c>
      <c r="B27" s="17" t="n">
        <v>2616</v>
      </c>
      <c r="C27" s="18">
        <f>(2300.0/B27*100)</f>
        <v/>
      </c>
      <c r="D27" s="19" t="n">
        <v>316</v>
      </c>
      <c r="E27" s="18" t="n">
        <v>36.59428008</v>
      </c>
      <c r="F27" s="20" t="n">
        <v>2.65346229</v>
      </c>
      <c r="G27" s="18" t="n">
        <v>60.89022419</v>
      </c>
      <c r="H27" s="20" t="n">
        <v>2.71724748</v>
      </c>
      <c r="I27" s="18" t="s">
        <v>349</v>
      </c>
      <c r="J27" s="20" t="s">
        <v>349</v>
      </c>
      <c r="K27" s="18" t="n">
        <v>0.65047338</v>
      </c>
      <c r="L27" s="20" t="n">
        <v>0.45723168</v>
      </c>
      <c r="M27" s="18" t="n">
        <v>0</v>
      </c>
      <c r="N27" s="20" t="n">
        <v>0</v>
      </c>
      <c r="O27" s="18" t="n">
        <v>0</v>
      </c>
      <c r="P27" s="20" t="n">
        <v>0</v>
      </c>
      <c r="Q27" s="18" t="n">
        <v>1.86502235</v>
      </c>
      <c r="R27" s="20" t="n">
        <v>0.85601661</v>
      </c>
    </row>
    <row r="28" spans="1:18">
      <c r="A28" s="15" t="s">
        <v>370</v>
      </c>
      <c r="B28" s="17" t="n">
        <v>3765</v>
      </c>
      <c r="C28" s="18">
        <f>(3307.0/B28*100)</f>
        <v/>
      </c>
      <c r="D28" s="19" t="n">
        <v>458</v>
      </c>
      <c r="E28" s="18" t="n">
        <v>52.7400432</v>
      </c>
      <c r="F28" s="20" t="n">
        <v>2.76510861</v>
      </c>
      <c r="G28" s="18" t="n">
        <v>45.13137303</v>
      </c>
      <c r="H28" s="20" t="n">
        <v>2.91969343</v>
      </c>
      <c r="I28" s="18" t="s">
        <v>349</v>
      </c>
      <c r="J28" s="20" t="s">
        <v>349</v>
      </c>
      <c r="K28" s="18" t="n">
        <v>1.34618875</v>
      </c>
      <c r="L28" s="20" t="n">
        <v>0.6666096500000001</v>
      </c>
      <c r="M28" s="18" t="n">
        <v>0</v>
      </c>
      <c r="N28" s="20" t="n">
        <v>0</v>
      </c>
      <c r="O28" s="18" t="n">
        <v>0</v>
      </c>
      <c r="P28" s="20" t="n">
        <v>0</v>
      </c>
      <c r="Q28" s="18" t="n">
        <v>0.7823950200000001</v>
      </c>
      <c r="R28" s="20" t="n">
        <v>0.48410565</v>
      </c>
    </row>
    <row r="29" spans="1:18">
      <c r="A29" s="15" t="s">
        <v>371</v>
      </c>
      <c r="B29" s="17" t="n">
        <v>2685</v>
      </c>
      <c r="C29" s="18">
        <f>(2405.0/B29*100)</f>
        <v/>
      </c>
      <c r="D29" s="19" t="n">
        <v>280</v>
      </c>
      <c r="E29" s="18" t="n">
        <v>21.00065516</v>
      </c>
      <c r="F29" s="20" t="n">
        <v>2.31276196</v>
      </c>
      <c r="G29" s="18" t="n">
        <v>78.62899049000001</v>
      </c>
      <c r="H29" s="20" t="n">
        <v>2.40259435</v>
      </c>
      <c r="I29" s="18" t="s">
        <v>349</v>
      </c>
      <c r="J29" s="20" t="s">
        <v>349</v>
      </c>
      <c r="K29" s="18" t="n">
        <v>0.37035435</v>
      </c>
      <c r="L29" s="20" t="n">
        <v>0.38148631</v>
      </c>
      <c r="M29" s="18" t="n">
        <v>0</v>
      </c>
      <c r="N29" s="20" t="n">
        <v>0</v>
      </c>
      <c r="O29" s="18" t="n">
        <v>0</v>
      </c>
      <c r="P29" s="20" t="n">
        <v>0</v>
      </c>
      <c r="Q29" s="18" t="n">
        <v>0</v>
      </c>
      <c r="R29" s="20" t="n">
        <v>0</v>
      </c>
    </row>
    <row r="30" spans="1:18">
      <c r="A30" s="15" t="s">
        <v>372</v>
      </c>
      <c r="B30" s="17" t="n">
        <v>2263</v>
      </c>
      <c r="C30" s="18">
        <f>(1996.0/B30*100)</f>
        <v/>
      </c>
      <c r="D30" s="19" t="n">
        <v>267</v>
      </c>
      <c r="E30" s="18" t="n">
        <v>38.27121145</v>
      </c>
      <c r="F30" s="20" t="n">
        <v>3.04056376</v>
      </c>
      <c r="G30" s="18" t="n">
        <v>60.24724104</v>
      </c>
      <c r="H30" s="20" t="n">
        <v>3.12053097</v>
      </c>
      <c r="I30" s="18" t="s">
        <v>349</v>
      </c>
      <c r="J30" s="20" t="s">
        <v>349</v>
      </c>
      <c r="K30" s="18" t="n">
        <v>0.66947292</v>
      </c>
      <c r="L30" s="20" t="n">
        <v>0.44392908</v>
      </c>
      <c r="M30" s="18" t="n">
        <v>0</v>
      </c>
      <c r="N30" s="20" t="n">
        <v>0</v>
      </c>
      <c r="O30" s="18" t="n">
        <v>0</v>
      </c>
      <c r="P30" s="20" t="n">
        <v>0</v>
      </c>
      <c r="Q30" s="18" t="n">
        <v>0.81207459</v>
      </c>
      <c r="R30" s="20" t="n">
        <v>0.53291283</v>
      </c>
    </row>
    <row r="31" spans="1:18">
      <c r="A31" s="15" t="s">
        <v>373</v>
      </c>
      <c r="B31" s="17" t="n">
        <v>2750</v>
      </c>
      <c r="C31" s="18">
        <f>(2422.0/B31*100)</f>
        <v/>
      </c>
      <c r="D31" s="19" t="n">
        <v>328</v>
      </c>
      <c r="E31" s="18" t="n">
        <v>27.32311547</v>
      </c>
      <c r="F31" s="20" t="n">
        <v>2.66047605</v>
      </c>
      <c r="G31" s="18" t="n">
        <v>70.79047982</v>
      </c>
      <c r="H31" s="20" t="n">
        <v>2.59182678</v>
      </c>
      <c r="I31" s="18" t="s">
        <v>349</v>
      </c>
      <c r="J31" s="20" t="s">
        <v>349</v>
      </c>
      <c r="K31" s="18" t="n">
        <v>1.88640471</v>
      </c>
      <c r="L31" s="20" t="n">
        <v>0.74757873</v>
      </c>
      <c r="M31" s="18" t="n">
        <v>0</v>
      </c>
      <c r="N31" s="20" t="n">
        <v>0</v>
      </c>
      <c r="O31" s="18" t="n">
        <v>0</v>
      </c>
      <c r="P31" s="20" t="n">
        <v>0</v>
      </c>
      <c r="Q31" s="18" t="n">
        <v>0</v>
      </c>
      <c r="R31" s="20" t="n">
        <v>0</v>
      </c>
    </row>
    <row r="32" spans="1:18">
      <c r="A32" s="15" t="s">
        <v>374</v>
      </c>
      <c r="B32" s="17" t="n">
        <v>2269</v>
      </c>
      <c r="C32" s="18">
        <f>(1854.0/B32*100)</f>
        <v/>
      </c>
      <c r="D32" s="19" t="n">
        <v>415</v>
      </c>
      <c r="E32" s="18" t="n">
        <v>34.09914696</v>
      </c>
      <c r="F32" s="20" t="n">
        <v>2.20674684</v>
      </c>
      <c r="G32" s="18" t="n">
        <v>64.93266779</v>
      </c>
      <c r="H32" s="20" t="n">
        <v>2.23535149</v>
      </c>
      <c r="I32" s="18" t="s">
        <v>349</v>
      </c>
      <c r="J32" s="20" t="s">
        <v>349</v>
      </c>
      <c r="K32" s="18" t="n">
        <v>0</v>
      </c>
      <c r="L32" s="20" t="n">
        <v>0</v>
      </c>
      <c r="M32" s="18" t="n">
        <v>0</v>
      </c>
      <c r="N32" s="20" t="n">
        <v>0</v>
      </c>
      <c r="O32" s="18" t="n">
        <v>0</v>
      </c>
      <c r="P32" s="20" t="n">
        <v>0</v>
      </c>
      <c r="Q32" s="18" t="n">
        <v>0.9681852399999999</v>
      </c>
      <c r="R32" s="20" t="n">
        <v>0.47030591</v>
      </c>
    </row>
    <row r="33" spans="1:18">
      <c r="A33" s="15" t="s">
        <v>375</v>
      </c>
      <c r="B33" s="17" t="n">
        <v>3674</v>
      </c>
      <c r="C33" s="18">
        <f>(3247.0/B33*100)</f>
        <v/>
      </c>
      <c r="D33" s="19" t="n">
        <v>427</v>
      </c>
      <c r="E33" s="18" t="n">
        <v>39.24707065</v>
      </c>
      <c r="F33" s="20" t="n">
        <v>3.09627253</v>
      </c>
      <c r="G33" s="18" t="n">
        <v>58.66995671</v>
      </c>
      <c r="H33" s="20" t="n">
        <v>3.05560707</v>
      </c>
      <c r="I33" s="18" t="s">
        <v>349</v>
      </c>
      <c r="J33" s="20" t="s">
        <v>349</v>
      </c>
      <c r="K33" s="18" t="n">
        <v>1.22881258</v>
      </c>
      <c r="L33" s="20" t="n">
        <v>0.94123682</v>
      </c>
      <c r="M33" s="18" t="n">
        <v>0</v>
      </c>
      <c r="N33" s="20" t="n">
        <v>0</v>
      </c>
      <c r="O33" s="18" t="n">
        <v>0</v>
      </c>
      <c r="P33" s="20" t="n">
        <v>0</v>
      </c>
      <c r="Q33" s="18" t="n">
        <v>0.85416006</v>
      </c>
      <c r="R33" s="20" t="n">
        <v>0.37741527</v>
      </c>
    </row>
    <row r="34" spans="1:18">
      <c r="A34" s="15" t="s">
        <v>376</v>
      </c>
      <c r="B34" s="17" t="n">
        <v>3315</v>
      </c>
      <c r="C34" s="18">
        <f>(2916.0/B34*100)</f>
        <v/>
      </c>
      <c r="D34" s="19" t="n">
        <v>399</v>
      </c>
      <c r="E34" s="18" t="n">
        <v>34.49570714</v>
      </c>
      <c r="F34" s="20" t="n">
        <v>2.62546067</v>
      </c>
      <c r="G34" s="18" t="n">
        <v>64.19326758</v>
      </c>
      <c r="H34" s="20" t="n">
        <v>2.83165157</v>
      </c>
      <c r="I34" s="18" t="s">
        <v>349</v>
      </c>
      <c r="J34" s="20" t="s">
        <v>349</v>
      </c>
      <c r="K34" s="18" t="n">
        <v>0.60329996</v>
      </c>
      <c r="L34" s="20" t="n">
        <v>0.44297901</v>
      </c>
      <c r="M34" s="18" t="n">
        <v>0</v>
      </c>
      <c r="N34" s="20" t="n">
        <v>0</v>
      </c>
      <c r="O34" s="18" t="n">
        <v>0</v>
      </c>
      <c r="P34" s="20" t="n">
        <v>0</v>
      </c>
      <c r="Q34" s="18" t="n">
        <v>0.70772533</v>
      </c>
      <c r="R34" s="20" t="n">
        <v>0.39334275</v>
      </c>
    </row>
    <row r="35" spans="1:18">
      <c r="A35" s="15" t="s">
        <v>377</v>
      </c>
      <c r="B35" s="17" t="n">
        <v>3505</v>
      </c>
      <c r="C35" s="18">
        <f>(3091.0/B35*100)</f>
        <v/>
      </c>
      <c r="D35" s="19" t="n">
        <v>414</v>
      </c>
      <c r="E35" s="18" t="n">
        <v>29.42526174</v>
      </c>
      <c r="F35" s="20" t="n">
        <v>2.59206927</v>
      </c>
      <c r="G35" s="18" t="n">
        <v>69.72666191</v>
      </c>
      <c r="H35" s="20" t="n">
        <v>2.53087882</v>
      </c>
      <c r="I35" s="18" t="s">
        <v>349</v>
      </c>
      <c r="J35" s="20" t="s">
        <v>349</v>
      </c>
      <c r="K35" s="18" t="n">
        <v>0.37233862</v>
      </c>
      <c r="L35" s="20" t="n">
        <v>0.22121799</v>
      </c>
      <c r="M35" s="18" t="n">
        <v>0</v>
      </c>
      <c r="N35" s="20" t="n">
        <v>0</v>
      </c>
      <c r="O35" s="18" t="n">
        <v>0</v>
      </c>
      <c r="P35" s="20" t="n">
        <v>0</v>
      </c>
      <c r="Q35" s="18" t="n">
        <v>0.47573772</v>
      </c>
      <c r="R35" s="20" t="n">
        <v>0.2858612</v>
      </c>
    </row>
    <row r="36" spans="1:18">
      <c r="A36" s="15" t="s">
        <v>378</v>
      </c>
      <c r="B36" s="17" t="n">
        <v>3332</v>
      </c>
      <c r="C36" s="18">
        <f>(2928.0/B36*100)</f>
        <v/>
      </c>
      <c r="D36" s="19" t="n">
        <v>404</v>
      </c>
      <c r="E36" s="18" t="n">
        <v>38.21835676</v>
      </c>
      <c r="F36" s="20" t="n">
        <v>2.4917536</v>
      </c>
      <c r="G36" s="18" t="n">
        <v>60.94353465</v>
      </c>
      <c r="H36" s="20" t="n">
        <v>2.50178898</v>
      </c>
      <c r="I36" s="18" t="s">
        <v>349</v>
      </c>
      <c r="J36" s="20" t="s">
        <v>349</v>
      </c>
      <c r="K36" s="18" t="n">
        <v>0.50271739</v>
      </c>
      <c r="L36" s="20" t="n">
        <v>0.38493751</v>
      </c>
      <c r="M36" s="18" t="n">
        <v>0</v>
      </c>
      <c r="N36" s="20" t="n">
        <v>0</v>
      </c>
      <c r="O36" s="18" t="n">
        <v>0</v>
      </c>
      <c r="P36" s="20" t="n">
        <v>0</v>
      </c>
      <c r="Q36" s="18" t="n">
        <v>0.3353912</v>
      </c>
      <c r="R36" s="20" t="n">
        <v>0.25315949</v>
      </c>
    </row>
    <row r="37" spans="1:18">
      <c r="A37" s="15" t="s">
        <v>379</v>
      </c>
      <c r="B37" s="17" t="n">
        <v>2727</v>
      </c>
      <c r="C37" s="18">
        <f>(2402.0/B37*100)</f>
        <v/>
      </c>
      <c r="D37" s="19" t="n">
        <v>325</v>
      </c>
      <c r="E37" s="18" t="n">
        <v>29.56780851</v>
      </c>
      <c r="F37" s="20" t="n">
        <v>2.7730768</v>
      </c>
      <c r="G37" s="18" t="n">
        <v>68.90073178999999</v>
      </c>
      <c r="H37" s="20" t="n">
        <v>2.86600807</v>
      </c>
      <c r="I37" s="18" t="s">
        <v>349</v>
      </c>
      <c r="J37" s="20" t="s">
        <v>349</v>
      </c>
      <c r="K37" s="18" t="n">
        <v>1.5314597</v>
      </c>
      <c r="L37" s="20" t="n">
        <v>0.73837425</v>
      </c>
      <c r="M37" s="18" t="n">
        <v>0</v>
      </c>
      <c r="N37" s="20" t="n">
        <v>0</v>
      </c>
      <c r="O37" s="18" t="n">
        <v>0</v>
      </c>
      <c r="P37" s="20" t="n">
        <v>0</v>
      </c>
      <c r="Q37" s="18" t="n">
        <v>0</v>
      </c>
      <c r="R37" s="20" t="n">
        <v>0</v>
      </c>
    </row>
    <row r="38" spans="1:18">
      <c r="A38" s="15" t="s">
        <v>380</v>
      </c>
      <c r="B38" s="17" t="n">
        <v>3053</v>
      </c>
      <c r="C38" s="18">
        <f>(2524.0/B38*100)</f>
        <v/>
      </c>
      <c r="D38" s="19" t="n">
        <v>529</v>
      </c>
      <c r="E38" s="18" t="n">
        <v>25.96135193</v>
      </c>
      <c r="F38" s="20" t="n">
        <v>2.00304444</v>
      </c>
      <c r="G38" s="18" t="n">
        <v>72.34490400999999</v>
      </c>
      <c r="H38" s="20" t="n">
        <v>1.99800196</v>
      </c>
      <c r="I38" s="18" t="s">
        <v>349</v>
      </c>
      <c r="J38" s="20" t="s">
        <v>349</v>
      </c>
      <c r="K38" s="18" t="n">
        <v>1.19263903</v>
      </c>
      <c r="L38" s="20" t="n">
        <v>0.5760776399999999</v>
      </c>
      <c r="M38" s="18" t="n">
        <v>0</v>
      </c>
      <c r="N38" s="20" t="n">
        <v>0</v>
      </c>
      <c r="O38" s="18" t="n">
        <v>0</v>
      </c>
      <c r="P38" s="20" t="n">
        <v>0</v>
      </c>
      <c r="Q38" s="18" t="n">
        <v>0.50110503</v>
      </c>
      <c r="R38" s="20" t="n">
        <v>0.33462313</v>
      </c>
    </row>
    <row r="39" spans="1:18">
      <c r="A39" s="15" t="s">
        <v>381</v>
      </c>
      <c r="B39" s="17" t="n">
        <v>2957</v>
      </c>
      <c r="C39" s="18">
        <f>(2613.0/B39*100)</f>
        <v/>
      </c>
      <c r="D39" s="19" t="n">
        <v>344</v>
      </c>
      <c r="E39" s="18" t="n">
        <v>56.65847978</v>
      </c>
      <c r="F39" s="20" t="n">
        <v>3.27122495</v>
      </c>
      <c r="G39" s="18" t="n">
        <v>42.04114167</v>
      </c>
      <c r="H39" s="20" t="n">
        <v>3.46930391</v>
      </c>
      <c r="I39" s="18" t="s">
        <v>349</v>
      </c>
      <c r="J39" s="20" t="s">
        <v>349</v>
      </c>
      <c r="K39" s="18" t="n">
        <v>0.43278052</v>
      </c>
      <c r="L39" s="20" t="n">
        <v>0.31023872</v>
      </c>
      <c r="M39" s="18" t="n">
        <v>0</v>
      </c>
      <c r="N39" s="20" t="n">
        <v>0</v>
      </c>
      <c r="O39" s="18" t="n">
        <v>0</v>
      </c>
      <c r="P39" s="20" t="n">
        <v>0</v>
      </c>
      <c r="Q39" s="18" t="n">
        <v>0.86759803</v>
      </c>
      <c r="R39" s="20" t="n">
        <v>0.68672663</v>
      </c>
    </row>
    <row r="40" spans="1:18">
      <c r="A40" s="15" t="s">
        <v>382</v>
      </c>
      <c r="B40" s="17" t="n">
        <v>7235</v>
      </c>
      <c r="C40" s="18">
        <f>(6350.0/B40*100)</f>
        <v/>
      </c>
      <c r="D40" s="19" t="n">
        <v>885</v>
      </c>
      <c r="E40" s="18" t="n">
        <v>35.84801193</v>
      </c>
      <c r="F40" s="20" t="n">
        <v>2.646068</v>
      </c>
      <c r="G40" s="18" t="n">
        <v>63.13660323</v>
      </c>
      <c r="H40" s="20" t="n">
        <v>2.73262588</v>
      </c>
      <c r="I40" s="18" t="s">
        <v>349</v>
      </c>
      <c r="J40" s="20" t="s">
        <v>349</v>
      </c>
      <c r="K40" s="18" t="n">
        <v>0.11118388</v>
      </c>
      <c r="L40" s="20" t="n">
        <v>0.06116869</v>
      </c>
      <c r="M40" s="18" t="n">
        <v>0</v>
      </c>
      <c r="N40" s="20" t="n">
        <v>0</v>
      </c>
      <c r="O40" s="18" t="n">
        <v>0</v>
      </c>
      <c r="P40" s="20" t="n">
        <v>0</v>
      </c>
      <c r="Q40" s="18" t="n">
        <v>0.90420095</v>
      </c>
      <c r="R40" s="20" t="n">
        <v>0.59205905</v>
      </c>
    </row>
    <row r="41" spans="1:18">
      <c r="A41" s="15" t="s">
        <v>383</v>
      </c>
      <c r="B41" s="17" t="n">
        <v>2858</v>
      </c>
      <c r="C41" s="18">
        <f>(2513.0/B41*100)</f>
        <v/>
      </c>
      <c r="D41" s="19" t="n">
        <v>345</v>
      </c>
      <c r="E41" s="18" t="n">
        <v>49.83936675</v>
      </c>
      <c r="F41" s="20" t="n">
        <v>2.95343673</v>
      </c>
      <c r="G41" s="18" t="n">
        <v>48.66894481</v>
      </c>
      <c r="H41" s="20" t="n">
        <v>3.162925</v>
      </c>
      <c r="I41" s="18" t="s">
        <v>349</v>
      </c>
      <c r="J41" s="20" t="s">
        <v>349</v>
      </c>
      <c r="K41" s="18" t="n">
        <v>1.18801228</v>
      </c>
      <c r="L41" s="20" t="n">
        <v>1.0113567</v>
      </c>
      <c r="M41" s="18" t="n">
        <v>0</v>
      </c>
      <c r="N41" s="20" t="n">
        <v>0</v>
      </c>
      <c r="O41" s="18" t="n">
        <v>0</v>
      </c>
      <c r="P41" s="20" t="n">
        <v>0</v>
      </c>
      <c r="Q41" s="18" t="n">
        <v>0.30367616</v>
      </c>
      <c r="R41" s="20" t="n">
        <v>0.30679675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(9913.0/B46*100)</f>
        <v/>
      </c>
      <c r="D46" s="19" t="n">
        <v>1155</v>
      </c>
      <c r="E46" s="18" t="n">
        <v>53.95638506</v>
      </c>
      <c r="F46" s="20" t="n">
        <v>2.15948478</v>
      </c>
      <c r="G46" s="18" t="n">
        <v>43.00936933</v>
      </c>
      <c r="H46" s="20" t="n">
        <v>2.22191682</v>
      </c>
      <c r="I46" s="18" t="s">
        <v>349</v>
      </c>
      <c r="J46" s="20" t="s">
        <v>349</v>
      </c>
      <c r="K46" s="18" t="n">
        <v>2.11952121</v>
      </c>
      <c r="L46" s="20" t="n">
        <v>0.46351682</v>
      </c>
      <c r="M46" s="18" t="n">
        <v>0</v>
      </c>
      <c r="N46" s="20" t="n">
        <v>0</v>
      </c>
      <c r="O46" s="18" t="n">
        <v>0</v>
      </c>
      <c r="P46" s="20" t="n">
        <v>0</v>
      </c>
      <c r="Q46" s="18" t="n">
        <v>0.9147243900000001</v>
      </c>
      <c r="R46" s="20" t="n">
        <v>0.36749544</v>
      </c>
    </row>
    <row r="47" spans="1:18">
      <c r="A47" s="15" t="s">
        <v>389</v>
      </c>
      <c r="B47" s="17" t="n">
        <v>3105</v>
      </c>
      <c r="C47" s="18">
        <f>(2721.0/B47*100)</f>
        <v/>
      </c>
      <c r="D47" s="19" t="n">
        <v>384</v>
      </c>
      <c r="E47" s="18" t="n">
        <v>43.85470602</v>
      </c>
      <c r="F47" s="20" t="n">
        <v>2.98840869</v>
      </c>
      <c r="G47" s="18" t="n">
        <v>55.37396242</v>
      </c>
      <c r="H47" s="20" t="n">
        <v>2.99714759</v>
      </c>
      <c r="I47" s="18" t="s">
        <v>349</v>
      </c>
      <c r="J47" s="20" t="s">
        <v>349</v>
      </c>
      <c r="K47" s="18" t="n">
        <v>0.5134931</v>
      </c>
      <c r="L47" s="20" t="n">
        <v>0.39055841</v>
      </c>
      <c r="M47" s="18" t="n">
        <v>0</v>
      </c>
      <c r="N47" s="20" t="n">
        <v>0</v>
      </c>
      <c r="O47" s="18" t="n">
        <v>0</v>
      </c>
      <c r="P47" s="20" t="n">
        <v>0</v>
      </c>
      <c r="Q47" s="18" t="n">
        <v>0.25783846</v>
      </c>
      <c r="R47" s="20" t="n">
        <v>0.24856714</v>
      </c>
    </row>
    <row r="48" spans="1:18">
      <c r="A48" s="15" t="s">
        <v>390</v>
      </c>
      <c r="B48" s="17" t="n">
        <v>5159</v>
      </c>
      <c r="C48" s="18">
        <f>(4548.0/B48*100)</f>
        <v/>
      </c>
      <c r="D48" s="19" t="n">
        <v>611</v>
      </c>
      <c r="E48" s="18" t="n">
        <v>24.97632055</v>
      </c>
      <c r="F48" s="20" t="n">
        <v>2.07137808</v>
      </c>
      <c r="G48" s="18" t="n">
        <v>73.52033461000001</v>
      </c>
      <c r="H48" s="20" t="n">
        <v>2.19125913</v>
      </c>
      <c r="I48" s="18" t="s">
        <v>349</v>
      </c>
      <c r="J48" s="20" t="s">
        <v>349</v>
      </c>
      <c r="K48" s="18" t="n">
        <v>0.84047496</v>
      </c>
      <c r="L48" s="20" t="n">
        <v>0.61757867</v>
      </c>
      <c r="M48" s="18" t="n">
        <v>0</v>
      </c>
      <c r="N48" s="20" t="n">
        <v>0</v>
      </c>
      <c r="O48" s="18" t="n">
        <v>0</v>
      </c>
      <c r="P48" s="20" t="n">
        <v>0</v>
      </c>
      <c r="Q48" s="18" t="n">
        <v>0.66286988</v>
      </c>
      <c r="R48" s="20" t="n">
        <v>0.41023361</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(4956.0/B50*100)</f>
        <v/>
      </c>
      <c r="D50" s="19" t="n">
        <v>681</v>
      </c>
      <c r="E50" s="18" t="n">
        <v>55.43643475</v>
      </c>
      <c r="F50" s="20" t="n">
        <v>2.79408656</v>
      </c>
      <c r="G50" s="18" t="n">
        <v>41.94768021</v>
      </c>
      <c r="H50" s="20" t="n">
        <v>2.70355681</v>
      </c>
      <c r="I50" s="18" t="s">
        <v>349</v>
      </c>
      <c r="J50" s="20" t="s">
        <v>349</v>
      </c>
      <c r="K50" s="18" t="n">
        <v>2.51149237</v>
      </c>
      <c r="L50" s="20" t="n">
        <v>1.11277035</v>
      </c>
      <c r="M50" s="18" t="n">
        <v>0</v>
      </c>
      <c r="N50" s="20" t="n">
        <v>0</v>
      </c>
      <c r="O50" s="18" t="n">
        <v>0</v>
      </c>
      <c r="P50" s="20" t="n">
        <v>0</v>
      </c>
      <c r="Q50" s="18" t="n">
        <v>0.10439267</v>
      </c>
      <c r="R50" s="20" t="n">
        <v>0.09885879</v>
      </c>
    </row>
    <row r="51" spans="1:18">
      <c r="A51" s="15" t="s">
        <v>393</v>
      </c>
      <c r="B51" s="17" t="n">
        <v>3372</v>
      </c>
      <c r="C51" s="18">
        <f>(3002.0/B51*100)</f>
        <v/>
      </c>
      <c r="D51" s="19" t="n">
        <v>370</v>
      </c>
      <c r="E51" s="18" t="n">
        <v>62.88663408</v>
      </c>
      <c r="F51" s="20" t="n">
        <v>2.71225634</v>
      </c>
      <c r="G51" s="18" t="n">
        <v>34.66907849</v>
      </c>
      <c r="H51" s="20" t="n">
        <v>2.54514672</v>
      </c>
      <c r="I51" s="18" t="s">
        <v>349</v>
      </c>
      <c r="J51" s="20" t="s">
        <v>349</v>
      </c>
      <c r="K51" s="18" t="n">
        <v>0.47102547</v>
      </c>
      <c r="L51" s="20" t="n">
        <v>0.33935093</v>
      </c>
      <c r="M51" s="18" t="n">
        <v>0</v>
      </c>
      <c r="N51" s="20" t="n">
        <v>0</v>
      </c>
      <c r="O51" s="18" t="n">
        <v>0</v>
      </c>
      <c r="P51" s="20" t="n">
        <v>0</v>
      </c>
      <c r="Q51" s="18" t="n">
        <v>1.97326196</v>
      </c>
      <c r="R51" s="20" t="n">
        <v>0.7795111</v>
      </c>
    </row>
    <row r="52" spans="1:18">
      <c r="A52" s="15" t="s">
        <v>394</v>
      </c>
      <c r="B52" s="17" t="n">
        <v>2796</v>
      </c>
      <c r="C52" s="18">
        <f>(2461.0/B52*100)</f>
        <v/>
      </c>
      <c r="D52" s="19" t="n">
        <v>335</v>
      </c>
      <c r="E52" s="18" t="n">
        <v>38.59565465</v>
      </c>
      <c r="F52" s="20" t="n">
        <v>2.74095382</v>
      </c>
      <c r="G52" s="18" t="n">
        <v>59.54535229</v>
      </c>
      <c r="H52" s="20" t="n">
        <v>2.80725581</v>
      </c>
      <c r="I52" s="18" t="s">
        <v>349</v>
      </c>
      <c r="J52" s="20" t="s">
        <v>349</v>
      </c>
      <c r="K52" s="18" t="n">
        <v>1.34572813</v>
      </c>
      <c r="L52" s="20" t="n">
        <v>0.6384138</v>
      </c>
      <c r="M52" s="18" t="n">
        <v>0</v>
      </c>
      <c r="N52" s="20" t="n">
        <v>0</v>
      </c>
      <c r="O52" s="18" t="n">
        <v>0</v>
      </c>
      <c r="P52" s="20" t="n">
        <v>0</v>
      </c>
      <c r="Q52" s="18" t="n">
        <v>0.51326492</v>
      </c>
      <c r="R52" s="20" t="n">
        <v>0.35313834</v>
      </c>
    </row>
    <row r="53" spans="1:18">
      <c r="A53" s="15" t="s">
        <v>395</v>
      </c>
      <c r="B53" s="17" t="n">
        <v>2811</v>
      </c>
      <c r="C53" s="18">
        <f>(2472.0/B53*100)</f>
        <v/>
      </c>
      <c r="D53" s="19" t="n">
        <v>339</v>
      </c>
      <c r="E53" s="18" t="n">
        <v>50.30701263</v>
      </c>
      <c r="F53" s="20" t="n">
        <v>2.61996379</v>
      </c>
      <c r="G53" s="18" t="n">
        <v>47.58749317</v>
      </c>
      <c r="H53" s="20" t="n">
        <v>2.67126194</v>
      </c>
      <c r="I53" s="18" t="s">
        <v>349</v>
      </c>
      <c r="J53" s="20" t="s">
        <v>349</v>
      </c>
      <c r="K53" s="18" t="n">
        <v>1.157872</v>
      </c>
      <c r="L53" s="20" t="n">
        <v>0.61381693</v>
      </c>
      <c r="M53" s="18" t="n">
        <v>0</v>
      </c>
      <c r="N53" s="20" t="n">
        <v>0</v>
      </c>
      <c r="O53" s="18" t="n">
        <v>0</v>
      </c>
      <c r="P53" s="20" t="n">
        <v>0</v>
      </c>
      <c r="Q53" s="18" t="n">
        <v>0.9476222</v>
      </c>
      <c r="R53" s="20" t="n">
        <v>0.32307807</v>
      </c>
    </row>
    <row r="54" spans="1:18">
      <c r="A54" s="15" t="s">
        <v>396</v>
      </c>
      <c r="B54" s="17" t="n">
        <v>2266</v>
      </c>
      <c r="C54" s="18">
        <f>(1892.0/B54*100)</f>
        <v/>
      </c>
      <c r="D54" s="19" t="n">
        <v>374</v>
      </c>
      <c r="E54" s="18" t="n">
        <v>56.80747418</v>
      </c>
      <c r="F54" s="20" t="n">
        <v>2.79590492</v>
      </c>
      <c r="G54" s="18" t="n">
        <v>28.55740952</v>
      </c>
      <c r="H54" s="20" t="n">
        <v>2.19719257</v>
      </c>
      <c r="I54" s="18" t="s">
        <v>349</v>
      </c>
      <c r="J54" s="20" t="s">
        <v>349</v>
      </c>
      <c r="K54" s="18" t="n">
        <v>13.61436973</v>
      </c>
      <c r="L54" s="20" t="n">
        <v>2.07733032</v>
      </c>
      <c r="M54" s="18" t="n">
        <v>0</v>
      </c>
      <c r="N54" s="20" t="n">
        <v>0</v>
      </c>
      <c r="O54" s="18" t="n">
        <v>0</v>
      </c>
      <c r="P54" s="20" t="n">
        <v>0</v>
      </c>
      <c r="Q54" s="18" t="n">
        <v>1.02074657</v>
      </c>
      <c r="R54" s="20" t="n">
        <v>0.63086176</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21.33033825</v>
      </c>
      <c r="F56" s="20" t="n">
        <v>2.27413062</v>
      </c>
      <c r="G56" s="18" t="n">
        <v>77.84717120000001</v>
      </c>
      <c r="H56" s="20" t="n">
        <v>2.3356611</v>
      </c>
      <c r="I56" s="18" t="s">
        <v>349</v>
      </c>
      <c r="J56" s="20" t="s">
        <v>349</v>
      </c>
      <c r="K56" s="18" t="n">
        <v>0.48933732</v>
      </c>
      <c r="L56" s="20" t="n">
        <v>0.35798664</v>
      </c>
      <c r="M56" s="18" t="n">
        <v>0</v>
      </c>
      <c r="N56" s="20" t="n">
        <v>0</v>
      </c>
      <c r="O56" s="18" t="n">
        <v>0</v>
      </c>
      <c r="P56" s="20" t="n">
        <v>0</v>
      </c>
      <c r="Q56" s="18" t="n">
        <v>0.33315323</v>
      </c>
      <c r="R56" s="20" t="n">
        <v>0.40090581</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(2926.0/B61*100)</f>
        <v/>
      </c>
      <c r="D61" s="19" t="n">
        <v>398</v>
      </c>
      <c r="E61" s="18" t="n">
        <v>33.0395228</v>
      </c>
      <c r="F61" s="20" t="n">
        <v>2.38232288</v>
      </c>
      <c r="G61" s="18" t="n">
        <v>66.58096565</v>
      </c>
      <c r="H61" s="20" t="n">
        <v>2.386613</v>
      </c>
      <c r="I61" s="18" t="s">
        <v>349</v>
      </c>
      <c r="J61" s="20" t="s">
        <v>349</v>
      </c>
      <c r="K61" s="18" t="n">
        <v>0.37951155</v>
      </c>
      <c r="L61" s="20" t="n">
        <v>0.31561475</v>
      </c>
      <c r="M61" s="18" t="n">
        <v>0</v>
      </c>
      <c r="N61" s="20" t="n">
        <v>0</v>
      </c>
      <c r="O61" s="18" t="n">
        <v>0</v>
      </c>
      <c r="P61" s="20" t="n">
        <v>0</v>
      </c>
      <c r="Q61" s="18" t="n">
        <v>0</v>
      </c>
      <c r="R61" s="20" t="n">
        <v>0</v>
      </c>
    </row>
    <row r="62" spans="1:18">
      <c r="A62" s="15" t="s">
        <v>404</v>
      </c>
      <c r="B62" s="17" t="n">
        <v>2246</v>
      </c>
      <c r="C62" s="18">
        <f>(1959.0/B62*100)</f>
        <v/>
      </c>
      <c r="D62" s="19" t="n">
        <v>287</v>
      </c>
      <c r="E62" s="18" t="n">
        <v>27.14633468</v>
      </c>
      <c r="F62" s="20" t="n">
        <v>2.49085127</v>
      </c>
      <c r="G62" s="18" t="n">
        <v>72.85366532</v>
      </c>
      <c r="H62" s="20" t="n">
        <v>2.49085127</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(2543.0/B66*100)</f>
        <v/>
      </c>
      <c r="D66" s="19" t="n">
        <v>351</v>
      </c>
      <c r="E66" s="18" t="n">
        <v>51.45678692</v>
      </c>
      <c r="F66" s="20" t="n">
        <v>2.43276349</v>
      </c>
      <c r="G66" s="18" t="n">
        <v>46.11752906</v>
      </c>
      <c r="H66" s="20" t="n">
        <v>2.51077481</v>
      </c>
      <c r="I66" s="18" t="s">
        <v>349</v>
      </c>
      <c r="J66" s="20" t="s">
        <v>349</v>
      </c>
      <c r="K66" s="18" t="n">
        <v>2.18699738</v>
      </c>
      <c r="L66" s="20" t="n">
        <v>0.80217662</v>
      </c>
      <c r="M66" s="18" t="n">
        <v>0</v>
      </c>
      <c r="N66" s="20" t="n">
        <v>0</v>
      </c>
      <c r="O66" s="18" t="n">
        <v>0</v>
      </c>
      <c r="P66" s="20" t="n">
        <v>0</v>
      </c>
      <c r="Q66" s="18" t="n">
        <v>0.23868664</v>
      </c>
      <c r="R66" s="20" t="n">
        <v>0.2364258</v>
      </c>
    </row>
    <row r="67" spans="1:18">
      <c r="A67" s="15" t="s">
        <v>409</v>
      </c>
      <c r="B67" s="17" t="n">
        <v>3511</v>
      </c>
      <c r="C67" s="18">
        <f>(3135.0/B67*100)</f>
        <v/>
      </c>
      <c r="D67" s="19" t="n">
        <v>376</v>
      </c>
      <c r="E67" s="18" t="n">
        <v>57.58551626</v>
      </c>
      <c r="F67" s="20" t="n">
        <v>2.43241712</v>
      </c>
      <c r="G67" s="18" t="n">
        <v>41.74235833</v>
      </c>
      <c r="H67" s="20" t="n">
        <v>2.45375131</v>
      </c>
      <c r="I67" s="18" t="s">
        <v>349</v>
      </c>
      <c r="J67" s="20" t="s">
        <v>349</v>
      </c>
      <c r="K67" s="18" t="n">
        <v>0.44538954</v>
      </c>
      <c r="L67" s="20" t="n">
        <v>0.31903702</v>
      </c>
      <c r="M67" s="18" t="n">
        <v>0</v>
      </c>
      <c r="N67" s="20" t="n">
        <v>0</v>
      </c>
      <c r="O67" s="18" t="n">
        <v>0</v>
      </c>
      <c r="P67" s="20" t="n">
        <v>0</v>
      </c>
      <c r="Q67" s="18" t="n">
        <v>0.22673586</v>
      </c>
      <c r="R67" s="20" t="n">
        <v>0.22677284</v>
      </c>
    </row>
    <row r="68" spans="1:18">
      <c r="A68" s="15" t="s">
        <v>410</v>
      </c>
      <c r="B68" s="17" t="n">
        <v>6049</v>
      </c>
      <c r="C68" s="18">
        <f>(5036.0/B68*100)</f>
        <v/>
      </c>
      <c r="D68" s="19" t="n">
        <v>1013</v>
      </c>
      <c r="E68" s="18" t="n">
        <v>51.13647228</v>
      </c>
      <c r="F68" s="20" t="n">
        <v>1.53268463</v>
      </c>
      <c r="G68" s="18" t="n">
        <v>44.31720677</v>
      </c>
      <c r="H68" s="20" t="n">
        <v>1.511385</v>
      </c>
      <c r="I68" s="18" t="s">
        <v>349</v>
      </c>
      <c r="J68" s="20" t="s">
        <v>349</v>
      </c>
      <c r="K68" s="18" t="n">
        <v>2.84445788</v>
      </c>
      <c r="L68" s="20" t="n">
        <v>0.50081868</v>
      </c>
      <c r="M68" s="18" t="n">
        <v>0</v>
      </c>
      <c r="N68" s="20" t="n">
        <v>0</v>
      </c>
      <c r="O68" s="18" t="n">
        <v>0</v>
      </c>
      <c r="P68" s="20" t="n">
        <v>0</v>
      </c>
      <c r="Q68" s="18" t="n">
        <v>1.70186307</v>
      </c>
      <c r="R68" s="20" t="n">
        <v>0.38228832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(2581.0/B70*100)</f>
        <v/>
      </c>
      <c r="D70" s="19" t="n">
        <v>348</v>
      </c>
      <c r="E70" s="18" t="n">
        <v>28.45869431</v>
      </c>
      <c r="F70" s="20" t="n">
        <v>2.59426098</v>
      </c>
      <c r="G70" s="18" t="n">
        <v>70.35644592</v>
      </c>
      <c r="H70" s="20" t="n">
        <v>2.56714808</v>
      </c>
      <c r="I70" s="18" t="s">
        <v>349</v>
      </c>
      <c r="J70" s="20" t="s">
        <v>349</v>
      </c>
      <c r="K70" s="18" t="n">
        <v>0.75338128</v>
      </c>
      <c r="L70" s="20" t="n">
        <v>0.416902</v>
      </c>
      <c r="M70" s="18" t="n">
        <v>0</v>
      </c>
      <c r="N70" s="20" t="n">
        <v>0</v>
      </c>
      <c r="O70" s="18" t="n">
        <v>0</v>
      </c>
      <c r="P70" s="20" t="n">
        <v>0</v>
      </c>
      <c r="Q70" s="18" t="n">
        <v>0.43147848</v>
      </c>
      <c r="R70" s="20" t="n">
        <v>0.33245012</v>
      </c>
    </row>
    <row r="71" spans="1:18">
      <c r="A71" s="15" t="s">
        <v>413</v>
      </c>
      <c r="B71" s="17" t="n">
        <v>3142</v>
      </c>
      <c r="C71" s="18">
        <f>(2756.0/B71*100)</f>
        <v/>
      </c>
      <c r="D71" s="19" t="n">
        <v>386</v>
      </c>
      <c r="E71" s="18" t="n">
        <v>16.03534321</v>
      </c>
      <c r="F71" s="20" t="n">
        <v>2.00541201</v>
      </c>
      <c r="G71" s="18" t="n">
        <v>83.17315481</v>
      </c>
      <c r="H71" s="20" t="n">
        <v>1.95537879</v>
      </c>
      <c r="I71" s="18" t="s">
        <v>349</v>
      </c>
      <c r="J71" s="20" t="s">
        <v>349</v>
      </c>
      <c r="K71" s="18" t="n">
        <v>0.51098283</v>
      </c>
      <c r="L71" s="20" t="n">
        <v>0.34866974</v>
      </c>
      <c r="M71" s="18" t="n">
        <v>0</v>
      </c>
      <c r="N71" s="20" t="n">
        <v>0</v>
      </c>
      <c r="O71" s="18" t="n">
        <v>0</v>
      </c>
      <c r="P71" s="20" t="n">
        <v>0</v>
      </c>
      <c r="Q71" s="18" t="n">
        <v>0.28051915</v>
      </c>
      <c r="R71" s="20" t="n">
        <v>0.28474593</v>
      </c>
    </row>
    <row r="72" spans="1:18">
      <c r="A72" s="15" t="s">
        <v>414</v>
      </c>
      <c r="B72" s="17" t="n">
        <v>3889</v>
      </c>
      <c r="C72" s="18">
        <f>(3408.0/B72*100)</f>
        <v/>
      </c>
      <c r="D72" s="19" t="n">
        <v>481</v>
      </c>
      <c r="E72" s="18" t="n">
        <v>28.92759426</v>
      </c>
      <c r="F72" s="20" t="n">
        <v>2.11925129</v>
      </c>
      <c r="G72" s="18" t="n">
        <v>70.68304323</v>
      </c>
      <c r="H72" s="20" t="n">
        <v>2.12186683</v>
      </c>
      <c r="I72" s="18" t="s">
        <v>349</v>
      </c>
      <c r="J72" s="20" t="s">
        <v>349</v>
      </c>
      <c r="K72" s="18" t="n">
        <v>0.38936251</v>
      </c>
      <c r="L72" s="20" t="n">
        <v>0.29493862</v>
      </c>
      <c r="M72" s="18" t="n">
        <v>0</v>
      </c>
      <c r="N72" s="20" t="n">
        <v>0</v>
      </c>
      <c r="O72" s="18" t="n">
        <v>0</v>
      </c>
      <c r="P72" s="20" t="n">
        <v>0</v>
      </c>
      <c r="Q72" s="18" t="n">
        <v>0</v>
      </c>
      <c r="R72" s="20" t="n">
        <v>0</v>
      </c>
    </row>
    <row r="73" spans="1:18">
      <c r="A73" s="15" t="s">
        <v>415</v>
      </c>
      <c r="B73" s="17" t="n">
        <v>3597</v>
      </c>
      <c r="C73" s="18">
        <f>(3167.0/B73*100)</f>
        <v/>
      </c>
      <c r="D73" s="19" t="n">
        <v>430</v>
      </c>
      <c r="E73" s="18" t="n">
        <v>59.05126163</v>
      </c>
      <c r="F73" s="20" t="n">
        <v>3.26513501</v>
      </c>
      <c r="G73" s="18" t="n">
        <v>39.61867396</v>
      </c>
      <c r="H73" s="20" t="n">
        <v>3.14405923</v>
      </c>
      <c r="I73" s="18" t="s">
        <v>349</v>
      </c>
      <c r="J73" s="20" t="s">
        <v>349</v>
      </c>
      <c r="K73" s="18" t="n">
        <v>0.26008587</v>
      </c>
      <c r="L73" s="20" t="n">
        <v>0.27436335</v>
      </c>
      <c r="M73" s="18" t="n">
        <v>0</v>
      </c>
      <c r="N73" s="20" t="n">
        <v>0</v>
      </c>
      <c r="O73" s="18" t="n">
        <v>0</v>
      </c>
      <c r="P73" s="20" t="n">
        <v>0</v>
      </c>
      <c r="Q73" s="18" t="n">
        <v>1.06997853</v>
      </c>
      <c r="R73" s="20" t="n">
        <v>0.55582292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(2121.0/B75*100)</f>
        <v/>
      </c>
      <c r="D75" s="19" t="n">
        <v>285</v>
      </c>
      <c r="E75" s="18" t="n">
        <v>55.5607122</v>
      </c>
      <c r="F75" s="20" t="n">
        <v>2.85346089</v>
      </c>
      <c r="G75" s="18" t="n">
        <v>41.12292926</v>
      </c>
      <c r="H75" s="20" t="n">
        <v>2.7992384</v>
      </c>
      <c r="I75" s="18" t="s">
        <v>349</v>
      </c>
      <c r="J75" s="20" t="s">
        <v>349</v>
      </c>
      <c r="K75" s="18" t="n">
        <v>1.81344887</v>
      </c>
      <c r="L75" s="20" t="n">
        <v>0.70194836</v>
      </c>
      <c r="M75" s="18" t="n">
        <v>0</v>
      </c>
      <c r="N75" s="20" t="n">
        <v>0</v>
      </c>
      <c r="O75" s="18" t="n">
        <v>0</v>
      </c>
      <c r="P75" s="20" t="n">
        <v>0</v>
      </c>
      <c r="Q75" s="18" t="n">
        <v>1.50290967</v>
      </c>
      <c r="R75" s="20" t="n">
        <v>0.73746578</v>
      </c>
    </row>
    <row r="76" spans="1:18">
      <c r="A76" s="15" t="s">
        <v>418</v>
      </c>
      <c r="B76" s="17" t="n">
        <v>7052</v>
      </c>
      <c r="C76" s="18">
        <f>(6196.0/B76*100)</f>
        <v/>
      </c>
      <c r="D76" s="19" t="n">
        <v>856</v>
      </c>
      <c r="E76" s="18" t="n">
        <v>46.79445233</v>
      </c>
      <c r="F76" s="20" t="n">
        <v>2.00163846</v>
      </c>
      <c r="G76" s="18" t="n">
        <v>51.13857477</v>
      </c>
      <c r="H76" s="20" t="n">
        <v>2.1322609</v>
      </c>
      <c r="I76" s="18" t="s">
        <v>349</v>
      </c>
      <c r="J76" s="20" t="s">
        <v>349</v>
      </c>
      <c r="K76" s="18" t="n">
        <v>1.33344759</v>
      </c>
      <c r="L76" s="20" t="n">
        <v>0.41705924</v>
      </c>
      <c r="M76" s="18" t="n">
        <v>0</v>
      </c>
      <c r="N76" s="20" t="n">
        <v>0</v>
      </c>
      <c r="O76" s="18" t="n">
        <v>0</v>
      </c>
      <c r="P76" s="20" t="n">
        <v>0</v>
      </c>
      <c r="Q76" s="18" t="n">
        <v>0.73352532</v>
      </c>
      <c r="R76" s="20" t="n">
        <v>0.42008468</v>
      </c>
    </row>
    <row r="77" spans="1:18">
      <c r="A77" s="15" t="s">
        <v>419</v>
      </c>
      <c r="B77" s="17" t="n">
        <v>2908</v>
      </c>
      <c r="C77" s="18">
        <f>(2545.0/B77*100)</f>
        <v/>
      </c>
      <c r="D77" s="19" t="n">
        <v>363</v>
      </c>
      <c r="E77" s="18" t="n">
        <v>52.7098889</v>
      </c>
      <c r="F77" s="20" t="n">
        <v>2.91387277</v>
      </c>
      <c r="G77" s="18" t="n">
        <v>43.88526495</v>
      </c>
      <c r="H77" s="20" t="n">
        <v>2.80260931</v>
      </c>
      <c r="I77" s="18" t="s">
        <v>349</v>
      </c>
      <c r="J77" s="20" t="s">
        <v>349</v>
      </c>
      <c r="K77" s="18" t="n">
        <v>2.85238188</v>
      </c>
      <c r="L77" s="20" t="n">
        <v>0.95921784</v>
      </c>
      <c r="M77" s="18" t="n">
        <v>0</v>
      </c>
      <c r="N77" s="20" t="n">
        <v>0</v>
      </c>
      <c r="O77" s="18" t="n">
        <v>0</v>
      </c>
      <c r="P77" s="20" t="n">
        <v>0</v>
      </c>
      <c r="Q77" s="18" t="n">
        <v>0.55246428</v>
      </c>
      <c r="R77" s="20" t="n">
        <v>0.35946657</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(3654.0/B81*100)</f>
        <v/>
      </c>
      <c r="D81" s="19" t="n">
        <v>509</v>
      </c>
      <c r="E81" s="18" t="n">
        <v>42.22180722</v>
      </c>
      <c r="F81" s="20" t="n">
        <v>3.00860484</v>
      </c>
      <c r="G81" s="18" t="n">
        <v>57.13991062</v>
      </c>
      <c r="H81" s="20" t="n">
        <v>3.01485382</v>
      </c>
      <c r="I81" s="18" t="s">
        <v>349</v>
      </c>
      <c r="J81" s="20" t="s">
        <v>349</v>
      </c>
      <c r="K81" s="18" t="n">
        <v>0.63828216</v>
      </c>
      <c r="L81" s="20" t="n">
        <v>0.3837407</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492</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7367</v>
      </c>
      <c r="C7" s="18">
        <f>(6499.0/B7*100)</f>
        <v/>
      </c>
      <c r="D7" s="19" t="n">
        <v>868</v>
      </c>
      <c r="E7" s="18" t="n">
        <v>37.59082016</v>
      </c>
      <c r="F7" s="20" t="n">
        <v>2.06880217</v>
      </c>
      <c r="G7" s="18" t="n">
        <v>6.77934584</v>
      </c>
      <c r="H7" s="20" t="n">
        <v>1.11211645</v>
      </c>
      <c r="I7" s="18" t="n">
        <v>39.70286229</v>
      </c>
      <c r="J7" s="20" t="n">
        <v>1.92850514</v>
      </c>
      <c r="K7" s="18" t="s">
        <v>349</v>
      </c>
      <c r="L7" s="20" t="s">
        <v>349</v>
      </c>
      <c r="M7" s="18" t="n">
        <v>4.08080943</v>
      </c>
      <c r="N7" s="20" t="n">
        <v>0.7399102</v>
      </c>
      <c r="O7" s="18" t="n">
        <v>0.01520768</v>
      </c>
      <c r="P7" s="20" t="n">
        <v>0.01533559</v>
      </c>
      <c r="Q7" s="18" t="n">
        <v>0</v>
      </c>
      <c r="R7" s="20" t="n">
        <v>0</v>
      </c>
      <c r="S7" s="18" t="n">
        <v>11.83095461</v>
      </c>
      <c r="T7" s="20" t="n">
        <v>1.24654442</v>
      </c>
    </row>
    <row r="8" spans="1:20">
      <c r="A8" s="15" t="s">
        <v>350</v>
      </c>
      <c r="B8" s="17" t="n">
        <v>3564</v>
      </c>
      <c r="C8" s="18">
        <f>(3100.0/B8*100)</f>
        <v/>
      </c>
      <c r="D8" s="19" t="n">
        <v>464</v>
      </c>
      <c r="E8" s="18" t="n">
        <v>22.35149709</v>
      </c>
      <c r="F8" s="20" t="n">
        <v>2.01859825</v>
      </c>
      <c r="G8" s="18" t="n">
        <v>21.37949867</v>
      </c>
      <c r="H8" s="20" t="n">
        <v>2.05715864</v>
      </c>
      <c r="I8" s="18" t="n">
        <v>34.31042807</v>
      </c>
      <c r="J8" s="20" t="n">
        <v>2.18843039</v>
      </c>
      <c r="K8" s="18" t="s">
        <v>349</v>
      </c>
      <c r="L8" s="20" t="s">
        <v>349</v>
      </c>
      <c r="M8" s="18" t="n">
        <v>3.09050261</v>
      </c>
      <c r="N8" s="20" t="n">
        <v>0.7429644399999999</v>
      </c>
      <c r="O8" s="18" t="n">
        <v>0</v>
      </c>
      <c r="P8" s="20" t="n">
        <v>0</v>
      </c>
      <c r="Q8" s="18" t="n">
        <v>0</v>
      </c>
      <c r="R8" s="20" t="n">
        <v>0</v>
      </c>
      <c r="S8" s="18" t="n">
        <v>18.86807356</v>
      </c>
      <c r="T8" s="20" t="n">
        <v>2.02591984</v>
      </c>
    </row>
    <row r="9" spans="1:20">
      <c r="A9" s="15" t="s">
        <v>351</v>
      </c>
      <c r="B9" s="17" t="n">
        <v>4899</v>
      </c>
      <c r="C9" s="18">
        <f>(4323.0/B9*100)</f>
        <v/>
      </c>
      <c r="D9" s="19" t="n">
        <v>576</v>
      </c>
      <c r="E9" s="18" t="n">
        <v>24.21843499</v>
      </c>
      <c r="F9" s="20" t="n">
        <v>1.77193137</v>
      </c>
      <c r="G9" s="18" t="n">
        <v>13.71986307</v>
      </c>
      <c r="H9" s="20" t="n">
        <v>1.72234419</v>
      </c>
      <c r="I9" s="18" t="n">
        <v>49.73364965</v>
      </c>
      <c r="J9" s="20" t="n">
        <v>2.27159775</v>
      </c>
      <c r="K9" s="18" t="s">
        <v>349</v>
      </c>
      <c r="L9" s="20" t="s">
        <v>349</v>
      </c>
      <c r="M9" s="18" t="n">
        <v>2.99136371</v>
      </c>
      <c r="N9" s="20" t="n">
        <v>0.64538484</v>
      </c>
      <c r="O9" s="18" t="n">
        <v>0</v>
      </c>
      <c r="P9" s="20" t="n">
        <v>0</v>
      </c>
      <c r="Q9" s="18" t="n">
        <v>0</v>
      </c>
      <c r="R9" s="20" t="n">
        <v>0</v>
      </c>
      <c r="S9" s="18" t="n">
        <v>9.33668859</v>
      </c>
      <c r="T9" s="20" t="n">
        <v>1.23814176</v>
      </c>
    </row>
    <row r="10" spans="1:20">
      <c r="A10" s="15" t="s">
        <v>352</v>
      </c>
      <c r="B10" s="17" t="n">
        <v>10036</v>
      </c>
      <c r="C10" s="18">
        <f>(8816.0/B10*100)</f>
        <v/>
      </c>
      <c r="D10" s="19" t="n">
        <v>1220</v>
      </c>
      <c r="E10" s="18" t="n">
        <v>30.86528097</v>
      </c>
      <c r="F10" s="20" t="n">
        <v>2.01019653</v>
      </c>
      <c r="G10" s="18" t="n">
        <v>8.3085425</v>
      </c>
      <c r="H10" s="20" t="n">
        <v>1.24283039</v>
      </c>
      <c r="I10" s="18" t="n">
        <v>50.578036</v>
      </c>
      <c r="J10" s="20" t="n">
        <v>2.27467699</v>
      </c>
      <c r="K10" s="18" t="s">
        <v>349</v>
      </c>
      <c r="L10" s="20" t="s">
        <v>349</v>
      </c>
      <c r="M10" s="18" t="n">
        <v>2.32966571</v>
      </c>
      <c r="N10" s="20" t="n">
        <v>0.59749902</v>
      </c>
      <c r="O10" s="18" t="n">
        <v>0.07290524</v>
      </c>
      <c r="P10" s="20" t="n">
        <v>0.0387275</v>
      </c>
      <c r="Q10" s="18" t="n">
        <v>0</v>
      </c>
      <c r="R10" s="20" t="n">
        <v>0</v>
      </c>
      <c r="S10" s="18" t="n">
        <v>7.84556958</v>
      </c>
      <c r="T10" s="20" t="n">
        <v>1.19168104</v>
      </c>
    </row>
    <row r="11" spans="1:20">
      <c r="A11" s="15" t="s">
        <v>353</v>
      </c>
      <c r="B11" s="17" t="n">
        <v>3553</v>
      </c>
      <c r="C11" s="18">
        <f>(3118.0/B11*100)</f>
        <v/>
      </c>
      <c r="D11" s="19" t="n">
        <v>435</v>
      </c>
      <c r="E11" s="18" t="n">
        <v>34.69264057</v>
      </c>
      <c r="F11" s="20" t="n">
        <v>2.60574117</v>
      </c>
      <c r="G11" s="18" t="n">
        <v>15.94897674</v>
      </c>
      <c r="H11" s="20" t="n">
        <v>2.19479019</v>
      </c>
      <c r="I11" s="18" t="n">
        <v>15.40962418</v>
      </c>
      <c r="J11" s="20" t="n">
        <v>2.02295514</v>
      </c>
      <c r="K11" s="18" t="s">
        <v>349</v>
      </c>
      <c r="L11" s="20" t="s">
        <v>349</v>
      </c>
      <c r="M11" s="18" t="n">
        <v>10.02769278</v>
      </c>
      <c r="N11" s="20" t="n">
        <v>1.75186594</v>
      </c>
      <c r="O11" s="18" t="n">
        <v>0</v>
      </c>
      <c r="P11" s="20" t="n">
        <v>0</v>
      </c>
      <c r="Q11" s="18" t="n">
        <v>0</v>
      </c>
      <c r="R11" s="20" t="n">
        <v>0</v>
      </c>
      <c r="S11" s="18" t="n">
        <v>23.92106573</v>
      </c>
      <c r="T11" s="20" t="n">
        <v>2.53562871</v>
      </c>
    </row>
    <row r="12" spans="1:20">
      <c r="A12" s="15" t="s">
        <v>354</v>
      </c>
      <c r="B12" s="17" t="n">
        <v>3472</v>
      </c>
      <c r="C12" s="18">
        <f>(3048.0/B12*100)</f>
        <v/>
      </c>
      <c r="D12" s="19" t="n">
        <v>424</v>
      </c>
      <c r="E12" s="18" t="n">
        <v>23.95134836</v>
      </c>
      <c r="F12" s="20" t="n">
        <v>2.33433457</v>
      </c>
      <c r="G12" s="18" t="n">
        <v>10.30791139</v>
      </c>
      <c r="H12" s="20" t="n">
        <v>1.80845741</v>
      </c>
      <c r="I12" s="18" t="n">
        <v>34.49343874</v>
      </c>
      <c r="J12" s="20" t="n">
        <v>2.90111795</v>
      </c>
      <c r="K12" s="18" t="s">
        <v>349</v>
      </c>
      <c r="L12" s="20" t="s">
        <v>349</v>
      </c>
      <c r="M12" s="18" t="n">
        <v>4.02139074</v>
      </c>
      <c r="N12" s="20" t="n">
        <v>0.9824640100000001</v>
      </c>
      <c r="O12" s="18" t="n">
        <v>0.10321221</v>
      </c>
      <c r="P12" s="20" t="n">
        <v>0.10601125</v>
      </c>
      <c r="Q12" s="18" t="n">
        <v>0</v>
      </c>
      <c r="R12" s="20" t="n">
        <v>0</v>
      </c>
      <c r="S12" s="18" t="n">
        <v>27.12269856</v>
      </c>
      <c r="T12" s="20" t="n">
        <v>2.26921326</v>
      </c>
    </row>
    <row r="13" spans="1:20">
      <c r="A13" s="15" t="s">
        <v>355</v>
      </c>
      <c r="B13" s="17" t="n">
        <v>3559</v>
      </c>
      <c r="C13" s="18">
        <f>(3132.0/B13*100)</f>
        <v/>
      </c>
      <c r="D13" s="19" t="n">
        <v>427</v>
      </c>
      <c r="E13" s="18" t="n">
        <v>34.26270727</v>
      </c>
      <c r="F13" s="20" t="n">
        <v>2.49609426</v>
      </c>
      <c r="G13" s="18" t="n">
        <v>9.524173380000001</v>
      </c>
      <c r="H13" s="20" t="n">
        <v>1.60842866</v>
      </c>
      <c r="I13" s="18" t="n">
        <v>43.33037966</v>
      </c>
      <c r="J13" s="20" t="n">
        <v>2.45175799</v>
      </c>
      <c r="K13" s="18" t="s">
        <v>349</v>
      </c>
      <c r="L13" s="20" t="s">
        <v>349</v>
      </c>
      <c r="M13" s="18" t="n">
        <v>1.57738113</v>
      </c>
      <c r="N13" s="20" t="n">
        <v>0.58789758</v>
      </c>
      <c r="O13" s="18" t="n">
        <v>0.20608832</v>
      </c>
      <c r="P13" s="20" t="n">
        <v>0.20965621</v>
      </c>
      <c r="Q13" s="18" t="n">
        <v>0</v>
      </c>
      <c r="R13" s="20" t="n">
        <v>0</v>
      </c>
      <c r="S13" s="18" t="n">
        <v>11.09927025</v>
      </c>
      <c r="T13" s="20" t="n">
        <v>1.90154652</v>
      </c>
    </row>
    <row r="14" spans="1:20">
      <c r="A14" s="15" t="s">
        <v>356</v>
      </c>
      <c r="B14" s="17" t="n">
        <v>2799</v>
      </c>
      <c r="C14" s="18">
        <f>(2473.0/B14*100)</f>
        <v/>
      </c>
      <c r="D14" s="19" t="n">
        <v>326</v>
      </c>
      <c r="E14" s="18" t="n">
        <v>23.50807904</v>
      </c>
      <c r="F14" s="20" t="n">
        <v>2.44372762</v>
      </c>
      <c r="G14" s="18" t="n">
        <v>19.88275293</v>
      </c>
      <c r="H14" s="20" t="n">
        <v>2.64160905</v>
      </c>
      <c r="I14" s="18" t="n">
        <v>43.36281141</v>
      </c>
      <c r="J14" s="20" t="n">
        <v>3.1520787</v>
      </c>
      <c r="K14" s="18" t="s">
        <v>349</v>
      </c>
      <c r="L14" s="20" t="s">
        <v>349</v>
      </c>
      <c r="M14" s="18" t="n">
        <v>2.66899941</v>
      </c>
      <c r="N14" s="20" t="n">
        <v>0.95232184</v>
      </c>
      <c r="O14" s="18" t="n">
        <v>0</v>
      </c>
      <c r="P14" s="20" t="n">
        <v>0</v>
      </c>
      <c r="Q14" s="18" t="n">
        <v>0</v>
      </c>
      <c r="R14" s="20" t="n">
        <v>0</v>
      </c>
      <c r="S14" s="18" t="n">
        <v>10.57735722</v>
      </c>
      <c r="T14" s="20" t="n">
        <v>2.0876667</v>
      </c>
    </row>
    <row r="15" spans="1:20">
      <c r="A15" s="15" t="s">
        <v>357</v>
      </c>
      <c r="B15" s="17" t="n">
        <v>3019</v>
      </c>
      <c r="C15" s="18">
        <f>(2647.0/B15*100)</f>
        <v/>
      </c>
      <c r="D15" s="19" t="n">
        <v>372</v>
      </c>
      <c r="E15" s="18" t="n">
        <v>37.45480804</v>
      </c>
      <c r="F15" s="20" t="n">
        <v>2.50216585</v>
      </c>
      <c r="G15" s="18" t="n">
        <v>13.08932201</v>
      </c>
      <c r="H15" s="20" t="n">
        <v>1.76763488</v>
      </c>
      <c r="I15" s="18" t="n">
        <v>31.62951786</v>
      </c>
      <c r="J15" s="20" t="n">
        <v>2.56087942</v>
      </c>
      <c r="K15" s="18" t="s">
        <v>349</v>
      </c>
      <c r="L15" s="20" t="s">
        <v>349</v>
      </c>
      <c r="M15" s="18" t="n">
        <v>4.90819458</v>
      </c>
      <c r="N15" s="20" t="n">
        <v>1.26484395</v>
      </c>
      <c r="O15" s="18" t="n">
        <v>0</v>
      </c>
      <c r="P15" s="20" t="n">
        <v>0</v>
      </c>
      <c r="Q15" s="18" t="n">
        <v>0</v>
      </c>
      <c r="R15" s="20" t="n">
        <v>0</v>
      </c>
      <c r="S15" s="18" t="n">
        <v>12.9181575</v>
      </c>
      <c r="T15" s="20" t="n">
        <v>1.65650258</v>
      </c>
    </row>
    <row r="16" spans="1:20">
      <c r="A16" s="15" t="s">
        <v>358</v>
      </c>
      <c r="B16" s="17" t="n">
        <v>2997</v>
      </c>
      <c r="C16" s="18">
        <f>(2621.0/B16*100)</f>
        <v/>
      </c>
      <c r="D16" s="19" t="n">
        <v>376</v>
      </c>
      <c r="E16" s="18" t="n">
        <v>19.87329721</v>
      </c>
      <c r="F16" s="20" t="n">
        <v>1.95798173</v>
      </c>
      <c r="G16" s="18" t="n">
        <v>10.94595957</v>
      </c>
      <c r="H16" s="20" t="n">
        <v>1.43108669</v>
      </c>
      <c r="I16" s="18" t="n">
        <v>42.77414158</v>
      </c>
      <c r="J16" s="20" t="n">
        <v>2.48068089</v>
      </c>
      <c r="K16" s="18" t="s">
        <v>349</v>
      </c>
      <c r="L16" s="20" t="s">
        <v>349</v>
      </c>
      <c r="M16" s="18" t="n">
        <v>7.96746168</v>
      </c>
      <c r="N16" s="20" t="n">
        <v>1.30092324</v>
      </c>
      <c r="O16" s="18" t="n">
        <v>0</v>
      </c>
      <c r="P16" s="20" t="n">
        <v>0</v>
      </c>
      <c r="Q16" s="18" t="n">
        <v>0</v>
      </c>
      <c r="R16" s="20" t="n">
        <v>0</v>
      </c>
      <c r="S16" s="18" t="n">
        <v>18.43913996</v>
      </c>
      <c r="T16" s="20" t="n">
        <v>1.86309469</v>
      </c>
    </row>
    <row r="17" spans="1:20">
      <c r="A17" s="15" t="s">
        <v>359</v>
      </c>
      <c r="B17" s="17" t="n">
        <v>3307</v>
      </c>
      <c r="C17" s="18">
        <f>(2891.0/B17*100)</f>
        <v/>
      </c>
      <c r="D17" s="19" t="n">
        <v>416</v>
      </c>
      <c r="E17" s="18" t="n">
        <v>20.13672366</v>
      </c>
      <c r="F17" s="20" t="n">
        <v>2.15080978</v>
      </c>
      <c r="G17" s="18" t="n">
        <v>17.27069841</v>
      </c>
      <c r="H17" s="20" t="n">
        <v>2.05416956</v>
      </c>
      <c r="I17" s="18" t="n">
        <v>39.26955631</v>
      </c>
      <c r="J17" s="20" t="n">
        <v>2.6460586</v>
      </c>
      <c r="K17" s="18" t="s">
        <v>349</v>
      </c>
      <c r="L17" s="20" t="s">
        <v>349</v>
      </c>
      <c r="M17" s="18" t="n">
        <v>4.40125543</v>
      </c>
      <c r="N17" s="20" t="n">
        <v>1.11287517</v>
      </c>
      <c r="O17" s="18" t="n">
        <v>0</v>
      </c>
      <c r="P17" s="20" t="n">
        <v>0</v>
      </c>
      <c r="Q17" s="18" t="n">
        <v>0</v>
      </c>
      <c r="R17" s="20" t="n">
        <v>0</v>
      </c>
      <c r="S17" s="18" t="n">
        <v>18.92176619</v>
      </c>
      <c r="T17" s="20" t="n">
        <v>2.0229379</v>
      </c>
    </row>
    <row r="18" spans="1:20">
      <c r="A18" s="15" t="s">
        <v>360</v>
      </c>
      <c r="B18" s="17" t="n">
        <v>2826</v>
      </c>
      <c r="C18" s="18">
        <f>(2482.0/B18*100)</f>
        <v/>
      </c>
      <c r="D18" s="19" t="n">
        <v>344</v>
      </c>
      <c r="E18" s="18" t="n">
        <v>32.2839947</v>
      </c>
      <c r="F18" s="20" t="n">
        <v>2.74800074</v>
      </c>
      <c r="G18" s="18" t="n">
        <v>9.213480479999999</v>
      </c>
      <c r="H18" s="20" t="n">
        <v>1.58344025</v>
      </c>
      <c r="I18" s="18" t="n">
        <v>29.94685762</v>
      </c>
      <c r="J18" s="20" t="n">
        <v>2.92901019</v>
      </c>
      <c r="K18" s="18" t="s">
        <v>349</v>
      </c>
      <c r="L18" s="20" t="s">
        <v>349</v>
      </c>
      <c r="M18" s="18" t="n">
        <v>5.28239974</v>
      </c>
      <c r="N18" s="20" t="n">
        <v>1.51354535</v>
      </c>
      <c r="O18" s="18" t="n">
        <v>0</v>
      </c>
      <c r="P18" s="20" t="n">
        <v>0</v>
      </c>
      <c r="Q18" s="18" t="n">
        <v>0</v>
      </c>
      <c r="R18" s="20" t="n">
        <v>0</v>
      </c>
      <c r="S18" s="18" t="n">
        <v>23.27326747</v>
      </c>
      <c r="T18" s="20" t="n">
        <v>2.52503612</v>
      </c>
    </row>
    <row r="19" spans="1:20">
      <c r="A19" s="15" t="s">
        <v>361</v>
      </c>
      <c r="B19" s="17" t="n">
        <v>2808</v>
      </c>
      <c r="C19" s="18">
        <f>(2468.0/B19*100)</f>
        <v/>
      </c>
      <c r="D19" s="19" t="n">
        <v>340</v>
      </c>
      <c r="E19" s="18" t="n">
        <v>33.84009557</v>
      </c>
      <c r="F19" s="20" t="n">
        <v>3.31601838</v>
      </c>
      <c r="G19" s="18" t="n">
        <v>6.00245454</v>
      </c>
      <c r="H19" s="20" t="n">
        <v>1.23773212</v>
      </c>
      <c r="I19" s="18" t="n">
        <v>38.11629699</v>
      </c>
      <c r="J19" s="20" t="n">
        <v>2.71414857</v>
      </c>
      <c r="K19" s="18" t="s">
        <v>349</v>
      </c>
      <c r="L19" s="20" t="s">
        <v>349</v>
      </c>
      <c r="M19" s="18" t="n">
        <v>3.87734816</v>
      </c>
      <c r="N19" s="20" t="n">
        <v>1.06405076</v>
      </c>
      <c r="O19" s="18" t="n">
        <v>0</v>
      </c>
      <c r="P19" s="20" t="n">
        <v>0</v>
      </c>
      <c r="Q19" s="18" t="n">
        <v>0</v>
      </c>
      <c r="R19" s="20" t="n">
        <v>0</v>
      </c>
      <c r="S19" s="18" t="n">
        <v>18.16380473</v>
      </c>
      <c r="T19" s="20" t="n">
        <v>2.08974909</v>
      </c>
    </row>
    <row r="20" spans="1:20">
      <c r="A20" s="15" t="s">
        <v>362</v>
      </c>
      <c r="B20" s="17" t="n">
        <v>1630</v>
      </c>
      <c r="C20" s="18">
        <f>(1425.0/B20*100)</f>
        <v/>
      </c>
      <c r="D20" s="19" t="n">
        <v>205</v>
      </c>
      <c r="E20" s="18" t="n">
        <v>42.08221774</v>
      </c>
      <c r="F20" s="20" t="n">
        <v>3.70421712</v>
      </c>
      <c r="G20" s="18" t="n">
        <v>6.09858953</v>
      </c>
      <c r="H20" s="20" t="n">
        <v>1.76745136</v>
      </c>
      <c r="I20" s="18" t="n">
        <v>32.9947963</v>
      </c>
      <c r="J20" s="20" t="n">
        <v>3.60855381</v>
      </c>
      <c r="K20" s="18" t="s">
        <v>349</v>
      </c>
      <c r="L20" s="20" t="s">
        <v>349</v>
      </c>
      <c r="M20" s="18" t="n">
        <v>3.01162502</v>
      </c>
      <c r="N20" s="20" t="n">
        <v>1.18935717</v>
      </c>
      <c r="O20" s="18" t="n">
        <v>0.75229298</v>
      </c>
      <c r="P20" s="20" t="n">
        <v>0.55158535</v>
      </c>
      <c r="Q20" s="18" t="n">
        <v>0</v>
      </c>
      <c r="R20" s="20" t="n">
        <v>0</v>
      </c>
      <c r="S20" s="18" t="n">
        <v>15.06047843</v>
      </c>
      <c r="T20" s="20" t="n">
        <v>2.77444333</v>
      </c>
    </row>
    <row r="21" spans="1:20">
      <c r="A21" s="15" t="s">
        <v>363</v>
      </c>
      <c r="B21" s="17" t="n">
        <v>2908</v>
      </c>
      <c r="C21" s="18">
        <f>(2407.0/B21*100)</f>
        <v/>
      </c>
      <c r="D21" s="19" t="n">
        <v>501</v>
      </c>
      <c r="E21" s="18" t="n">
        <v>30.6662019</v>
      </c>
      <c r="F21" s="20" t="n">
        <v>2.19862019</v>
      </c>
      <c r="G21" s="18" t="n">
        <v>8.53759185</v>
      </c>
      <c r="H21" s="20" t="n">
        <v>1.05998611</v>
      </c>
      <c r="I21" s="18" t="n">
        <v>44.40470374</v>
      </c>
      <c r="J21" s="20" t="n">
        <v>2.14803802</v>
      </c>
      <c r="K21" s="18" t="s">
        <v>349</v>
      </c>
      <c r="L21" s="20" t="s">
        <v>349</v>
      </c>
      <c r="M21" s="18" t="n">
        <v>3.26630902</v>
      </c>
      <c r="N21" s="20" t="n">
        <v>0.76731267</v>
      </c>
      <c r="O21" s="18" t="n">
        <v>0</v>
      </c>
      <c r="P21" s="20" t="n">
        <v>0</v>
      </c>
      <c r="Q21" s="18" t="n">
        <v>0</v>
      </c>
      <c r="R21" s="20" t="n">
        <v>0</v>
      </c>
      <c r="S21" s="18" t="n">
        <v>13.12519349</v>
      </c>
      <c r="T21" s="20" t="n">
        <v>1.70631327</v>
      </c>
    </row>
    <row r="22" spans="1:20">
      <c r="A22" s="15" t="s">
        <v>364</v>
      </c>
      <c r="B22" s="17" t="n">
        <v>2931</v>
      </c>
      <c r="C22" s="18">
        <f>(2564.0/B22*100)</f>
        <v/>
      </c>
      <c r="D22" s="19" t="n">
        <v>367</v>
      </c>
      <c r="E22" s="18" t="n">
        <v>27.43897077</v>
      </c>
      <c r="F22" s="20" t="n">
        <v>2.47933872</v>
      </c>
      <c r="G22" s="18" t="n">
        <v>10.93936822</v>
      </c>
      <c r="H22" s="20" t="n">
        <v>1.56778027</v>
      </c>
      <c r="I22" s="18" t="n">
        <v>35.04435959</v>
      </c>
      <c r="J22" s="20" t="n">
        <v>2.60475936</v>
      </c>
      <c r="K22" s="18" t="s">
        <v>349</v>
      </c>
      <c r="L22" s="20" t="s">
        <v>349</v>
      </c>
      <c r="M22" s="18" t="n">
        <v>7.70546927</v>
      </c>
      <c r="N22" s="20" t="n">
        <v>2.02661568</v>
      </c>
      <c r="O22" s="18" t="n">
        <v>0</v>
      </c>
      <c r="P22" s="20" t="n">
        <v>0</v>
      </c>
      <c r="Q22" s="18" t="n">
        <v>0</v>
      </c>
      <c r="R22" s="20" t="n">
        <v>0</v>
      </c>
      <c r="S22" s="18" t="n">
        <v>18.87183216</v>
      </c>
      <c r="T22" s="20" t="n">
        <v>2.47150954</v>
      </c>
    </row>
    <row r="23" spans="1:20">
      <c r="A23" s="15" t="s">
        <v>365</v>
      </c>
      <c r="B23" s="17" t="n">
        <v>5791</v>
      </c>
      <c r="C23" s="18">
        <f>(5094.0/B23*100)</f>
        <v/>
      </c>
      <c r="D23" s="19" t="n">
        <v>697</v>
      </c>
      <c r="E23" s="18" t="n">
        <v>28.43007363</v>
      </c>
      <c r="F23" s="20" t="n">
        <v>2.54640399</v>
      </c>
      <c r="G23" s="18" t="n">
        <v>18.12409502</v>
      </c>
      <c r="H23" s="20" t="n">
        <v>1.98210277</v>
      </c>
      <c r="I23" s="18" t="n">
        <v>27.73176977</v>
      </c>
      <c r="J23" s="20" t="n">
        <v>2.37147462</v>
      </c>
      <c r="K23" s="18" t="s">
        <v>349</v>
      </c>
      <c r="L23" s="20" t="s">
        <v>349</v>
      </c>
      <c r="M23" s="18" t="n">
        <v>5.52614373</v>
      </c>
      <c r="N23" s="20" t="n">
        <v>1.06642369</v>
      </c>
      <c r="O23" s="18" t="n">
        <v>0.3403728</v>
      </c>
      <c r="P23" s="20" t="n">
        <v>0.36644088</v>
      </c>
      <c r="Q23" s="18" t="n">
        <v>0</v>
      </c>
      <c r="R23" s="20" t="n">
        <v>0</v>
      </c>
      <c r="S23" s="18" t="n">
        <v>19.84754505</v>
      </c>
      <c r="T23" s="20" t="n">
        <v>2.14658902</v>
      </c>
    </row>
    <row r="24" spans="1:20">
      <c r="A24" s="15" t="s">
        <v>366</v>
      </c>
      <c r="B24" s="17" t="n">
        <v>3338</v>
      </c>
      <c r="C24" s="18">
        <f>(2945.0/B24*100)</f>
        <v/>
      </c>
      <c r="D24" s="19" t="n">
        <v>393</v>
      </c>
      <c r="E24" s="18" t="n">
        <v>26.15821634</v>
      </c>
      <c r="F24" s="20" t="n">
        <v>2.43102342</v>
      </c>
      <c r="G24" s="18" t="n">
        <v>14.68392181</v>
      </c>
      <c r="H24" s="20" t="n">
        <v>2.01055541</v>
      </c>
      <c r="I24" s="18" t="n">
        <v>39.45769744</v>
      </c>
      <c r="J24" s="20" t="n">
        <v>2.46332435</v>
      </c>
      <c r="K24" s="18" t="s">
        <v>349</v>
      </c>
      <c r="L24" s="20" t="s">
        <v>349</v>
      </c>
      <c r="M24" s="18" t="n">
        <v>4.07271893</v>
      </c>
      <c r="N24" s="20" t="n">
        <v>0.99844852</v>
      </c>
      <c r="O24" s="18" t="n">
        <v>0</v>
      </c>
      <c r="P24" s="20" t="n">
        <v>0</v>
      </c>
      <c r="Q24" s="18" t="n">
        <v>0</v>
      </c>
      <c r="R24" s="20" t="n">
        <v>0</v>
      </c>
      <c r="S24" s="18" t="n">
        <v>15.62744548</v>
      </c>
      <c r="T24" s="20" t="n">
        <v>1.96605472</v>
      </c>
    </row>
    <row r="25" spans="1:20">
      <c r="A25" s="15" t="s">
        <v>367</v>
      </c>
      <c r="B25" s="17" t="n">
        <v>2912</v>
      </c>
      <c r="C25" s="18">
        <f>(2558.0/B25*100)</f>
        <v/>
      </c>
      <c r="D25" s="19" t="n">
        <v>354</v>
      </c>
      <c r="E25" s="18" t="n">
        <v>23.9340834</v>
      </c>
      <c r="F25" s="20" t="n">
        <v>2.12745874</v>
      </c>
      <c r="G25" s="18" t="n">
        <v>3.85780984</v>
      </c>
      <c r="H25" s="20" t="n">
        <v>1.05631774</v>
      </c>
      <c r="I25" s="18" t="n">
        <v>51.0754478</v>
      </c>
      <c r="J25" s="20" t="n">
        <v>2.81074965</v>
      </c>
      <c r="K25" s="18" t="s">
        <v>349</v>
      </c>
      <c r="L25" s="20" t="s">
        <v>349</v>
      </c>
      <c r="M25" s="18" t="n">
        <v>4.08679726</v>
      </c>
      <c r="N25" s="20" t="n">
        <v>1.19088654</v>
      </c>
      <c r="O25" s="18" t="n">
        <v>0</v>
      </c>
      <c r="P25" s="20" t="n">
        <v>0</v>
      </c>
      <c r="Q25" s="18" t="n">
        <v>0</v>
      </c>
      <c r="R25" s="20" t="n">
        <v>0</v>
      </c>
      <c r="S25" s="18" t="n">
        <v>17.04586169</v>
      </c>
      <c r="T25" s="20" t="n">
        <v>2.26420783</v>
      </c>
    </row>
    <row r="26" spans="1:20">
      <c r="A26" s="15" t="s">
        <v>368</v>
      </c>
      <c r="B26" s="17" t="n">
        <v>2450</v>
      </c>
      <c r="C26" s="18">
        <f>(2154.0/B26*100)</f>
        <v/>
      </c>
      <c r="D26" s="19" t="n">
        <v>296</v>
      </c>
      <c r="E26" s="18" t="n">
        <v>45.20107451</v>
      </c>
      <c r="F26" s="20" t="n">
        <v>2.78033202</v>
      </c>
      <c r="G26" s="18" t="n">
        <v>20.13555709</v>
      </c>
      <c r="H26" s="20" t="n">
        <v>2.58605741</v>
      </c>
      <c r="I26" s="18" t="n">
        <v>16.41494734</v>
      </c>
      <c r="J26" s="20" t="n">
        <v>2.33423486</v>
      </c>
      <c r="K26" s="18" t="s">
        <v>349</v>
      </c>
      <c r="L26" s="20" t="s">
        <v>349</v>
      </c>
      <c r="M26" s="18" t="n">
        <v>2.68591826</v>
      </c>
      <c r="N26" s="20" t="n">
        <v>0.73254872</v>
      </c>
      <c r="O26" s="18" t="n">
        <v>0</v>
      </c>
      <c r="P26" s="20" t="n">
        <v>0</v>
      </c>
      <c r="Q26" s="18" t="n">
        <v>0</v>
      </c>
      <c r="R26" s="20" t="n">
        <v>0</v>
      </c>
      <c r="S26" s="18" t="n">
        <v>15.56250279</v>
      </c>
      <c r="T26" s="20" t="n">
        <v>2.54458795</v>
      </c>
    </row>
    <row r="27" spans="1:20">
      <c r="A27" s="15" t="s">
        <v>369</v>
      </c>
      <c r="B27" s="17" t="n">
        <v>2616</v>
      </c>
      <c r="C27" s="18">
        <f>(2300.0/B27*100)</f>
        <v/>
      </c>
      <c r="D27" s="19" t="n">
        <v>316</v>
      </c>
      <c r="E27" s="18" t="n">
        <v>28.30445669</v>
      </c>
      <c r="F27" s="20" t="n">
        <v>2.46566084</v>
      </c>
      <c r="G27" s="18" t="n">
        <v>15.149388</v>
      </c>
      <c r="H27" s="20" t="n">
        <v>2.07250924</v>
      </c>
      <c r="I27" s="18" t="n">
        <v>37.33135009</v>
      </c>
      <c r="J27" s="20" t="n">
        <v>2.99491617</v>
      </c>
      <c r="K27" s="18" t="s">
        <v>349</v>
      </c>
      <c r="L27" s="20" t="s">
        <v>349</v>
      </c>
      <c r="M27" s="18" t="n">
        <v>3.85465106</v>
      </c>
      <c r="N27" s="20" t="n">
        <v>1.06257823</v>
      </c>
      <c r="O27" s="18" t="n">
        <v>0</v>
      </c>
      <c r="P27" s="20" t="n">
        <v>0</v>
      </c>
      <c r="Q27" s="18" t="n">
        <v>0</v>
      </c>
      <c r="R27" s="20" t="n">
        <v>0</v>
      </c>
      <c r="S27" s="18" t="n">
        <v>15.36015416</v>
      </c>
      <c r="T27" s="20" t="n">
        <v>1.92391716</v>
      </c>
    </row>
    <row r="28" spans="1:20">
      <c r="A28" s="15" t="s">
        <v>370</v>
      </c>
      <c r="B28" s="17" t="n">
        <v>3765</v>
      </c>
      <c r="C28" s="18">
        <f>(3312.0/B28*100)</f>
        <v/>
      </c>
      <c r="D28" s="19" t="n">
        <v>453</v>
      </c>
      <c r="E28" s="18" t="n">
        <v>61.42067883</v>
      </c>
      <c r="F28" s="20" t="n">
        <v>2.38068222</v>
      </c>
      <c r="G28" s="18" t="n">
        <v>7.71208012</v>
      </c>
      <c r="H28" s="20" t="n">
        <v>1.38628522</v>
      </c>
      <c r="I28" s="18" t="n">
        <v>17.0324615</v>
      </c>
      <c r="J28" s="20" t="n">
        <v>1.91404551</v>
      </c>
      <c r="K28" s="18" t="s">
        <v>349</v>
      </c>
      <c r="L28" s="20" t="s">
        <v>349</v>
      </c>
      <c r="M28" s="18" t="n">
        <v>2.51878088</v>
      </c>
      <c r="N28" s="20" t="n">
        <v>0.84564347</v>
      </c>
      <c r="O28" s="18" t="n">
        <v>0</v>
      </c>
      <c r="P28" s="20" t="n">
        <v>0</v>
      </c>
      <c r="Q28" s="18" t="n">
        <v>0</v>
      </c>
      <c r="R28" s="20" t="n">
        <v>0</v>
      </c>
      <c r="S28" s="18" t="n">
        <v>11.31599867</v>
      </c>
      <c r="T28" s="20" t="n">
        <v>1.72901941</v>
      </c>
    </row>
    <row r="29" spans="1:20">
      <c r="A29" s="15" t="s">
        <v>371</v>
      </c>
      <c r="B29" s="17" t="n">
        <v>2685</v>
      </c>
      <c r="C29" s="18">
        <f>(2405.0/B29*100)</f>
        <v/>
      </c>
      <c r="D29" s="19" t="n">
        <v>280</v>
      </c>
      <c r="E29" s="18" t="n">
        <v>31.72246401</v>
      </c>
      <c r="F29" s="20" t="n">
        <v>2.81740689</v>
      </c>
      <c r="G29" s="18" t="n">
        <v>10.98655784</v>
      </c>
      <c r="H29" s="20" t="n">
        <v>2.00977482</v>
      </c>
      <c r="I29" s="18" t="n">
        <v>48.23315875</v>
      </c>
      <c r="J29" s="20" t="n">
        <v>2.67503502</v>
      </c>
      <c r="K29" s="18" t="s">
        <v>349</v>
      </c>
      <c r="L29" s="20" t="s">
        <v>349</v>
      </c>
      <c r="M29" s="18" t="n">
        <v>0.73001385</v>
      </c>
      <c r="N29" s="20" t="n">
        <v>0.53021675</v>
      </c>
      <c r="O29" s="18" t="n">
        <v>0</v>
      </c>
      <c r="P29" s="20" t="n">
        <v>0</v>
      </c>
      <c r="Q29" s="18" t="n">
        <v>0</v>
      </c>
      <c r="R29" s="20" t="n">
        <v>0</v>
      </c>
      <c r="S29" s="18" t="n">
        <v>8.32780554</v>
      </c>
      <c r="T29" s="20" t="n">
        <v>1.86575749</v>
      </c>
    </row>
    <row r="30" spans="1:20">
      <c r="A30" s="15" t="s">
        <v>372</v>
      </c>
      <c r="B30" s="17" t="n">
        <v>2263</v>
      </c>
      <c r="C30" s="18">
        <f>(1997.0/B30*100)</f>
        <v/>
      </c>
      <c r="D30" s="19" t="n">
        <v>266</v>
      </c>
      <c r="E30" s="18" t="n">
        <v>35.74720059</v>
      </c>
      <c r="F30" s="20" t="n">
        <v>3.14973913</v>
      </c>
      <c r="G30" s="18" t="n">
        <v>7.79780526</v>
      </c>
      <c r="H30" s="20" t="n">
        <v>1.42701513</v>
      </c>
      <c r="I30" s="18" t="n">
        <v>35.3624532</v>
      </c>
      <c r="J30" s="20" t="n">
        <v>2.93475894</v>
      </c>
      <c r="K30" s="18" t="s">
        <v>349</v>
      </c>
      <c r="L30" s="20" t="s">
        <v>349</v>
      </c>
      <c r="M30" s="18" t="n">
        <v>3.52764141</v>
      </c>
      <c r="N30" s="20" t="n">
        <v>1.12134951</v>
      </c>
      <c r="O30" s="18" t="n">
        <v>0</v>
      </c>
      <c r="P30" s="20" t="n">
        <v>0</v>
      </c>
      <c r="Q30" s="18" t="n">
        <v>0</v>
      </c>
      <c r="R30" s="20" t="n">
        <v>0</v>
      </c>
      <c r="S30" s="18" t="n">
        <v>17.56489953</v>
      </c>
      <c r="T30" s="20" t="n">
        <v>2.23299082</v>
      </c>
    </row>
    <row r="31" spans="1:20">
      <c r="A31" s="15" t="s">
        <v>373</v>
      </c>
      <c r="B31" s="17" t="n">
        <v>2750</v>
      </c>
      <c r="C31" s="18">
        <f>(2424.0/B31*100)</f>
        <v/>
      </c>
      <c r="D31" s="19" t="n">
        <v>326</v>
      </c>
      <c r="E31" s="18" t="n">
        <v>37.13973676</v>
      </c>
      <c r="F31" s="20" t="n">
        <v>2.77388357</v>
      </c>
      <c r="G31" s="18" t="n">
        <v>16.02471494</v>
      </c>
      <c r="H31" s="20" t="n">
        <v>2.11281311</v>
      </c>
      <c r="I31" s="18" t="n">
        <v>31.04882897</v>
      </c>
      <c r="J31" s="20" t="n">
        <v>2.7590503</v>
      </c>
      <c r="K31" s="18" t="s">
        <v>349</v>
      </c>
      <c r="L31" s="20" t="s">
        <v>349</v>
      </c>
      <c r="M31" s="18" t="n">
        <v>4.61735904</v>
      </c>
      <c r="N31" s="20" t="n">
        <v>1.1615127</v>
      </c>
      <c r="O31" s="18" t="n">
        <v>0</v>
      </c>
      <c r="P31" s="20" t="n">
        <v>0</v>
      </c>
      <c r="Q31" s="18" t="n">
        <v>0</v>
      </c>
      <c r="R31" s="20" t="n">
        <v>0</v>
      </c>
      <c r="S31" s="18" t="n">
        <v>11.1693603</v>
      </c>
      <c r="T31" s="20" t="n">
        <v>1.77472898</v>
      </c>
    </row>
    <row r="32" spans="1:20">
      <c r="A32" s="15" t="s">
        <v>374</v>
      </c>
      <c r="B32" s="17" t="n">
        <v>2269</v>
      </c>
      <c r="C32" s="18">
        <f>(1854.0/B32*100)</f>
        <v/>
      </c>
      <c r="D32" s="19" t="n">
        <v>415</v>
      </c>
      <c r="E32" s="18" t="n">
        <v>27.89587567</v>
      </c>
      <c r="F32" s="20" t="n">
        <v>2.38049</v>
      </c>
      <c r="G32" s="18" t="n">
        <v>13.20627049</v>
      </c>
      <c r="H32" s="20" t="n">
        <v>1.7459843</v>
      </c>
      <c r="I32" s="18" t="n">
        <v>39.42888223</v>
      </c>
      <c r="J32" s="20" t="n">
        <v>2.01351586</v>
      </c>
      <c r="K32" s="18" t="s">
        <v>349</v>
      </c>
      <c r="L32" s="20" t="s">
        <v>349</v>
      </c>
      <c r="M32" s="18" t="n">
        <v>3.33925844</v>
      </c>
      <c r="N32" s="20" t="n">
        <v>0.87937155</v>
      </c>
      <c r="O32" s="18" t="n">
        <v>0</v>
      </c>
      <c r="P32" s="20" t="n">
        <v>0</v>
      </c>
      <c r="Q32" s="18" t="n">
        <v>0</v>
      </c>
      <c r="R32" s="20" t="n">
        <v>0</v>
      </c>
      <c r="S32" s="18" t="n">
        <v>16.12971317</v>
      </c>
      <c r="T32" s="20" t="n">
        <v>1.83617695</v>
      </c>
    </row>
    <row r="33" spans="1:20">
      <c r="A33" s="15" t="s">
        <v>375</v>
      </c>
      <c r="B33" s="17" t="n">
        <v>3674</v>
      </c>
      <c r="C33" s="18">
        <f>(3252.0/B33*100)</f>
        <v/>
      </c>
      <c r="D33" s="19" t="n">
        <v>422</v>
      </c>
      <c r="E33" s="18" t="n">
        <v>19.93827491</v>
      </c>
      <c r="F33" s="20" t="n">
        <v>2.25024597</v>
      </c>
      <c r="G33" s="18" t="n">
        <v>19.8793438</v>
      </c>
      <c r="H33" s="20" t="n">
        <v>2.88157715</v>
      </c>
      <c r="I33" s="18" t="n">
        <v>38.16644847</v>
      </c>
      <c r="J33" s="20" t="n">
        <v>3.42737352</v>
      </c>
      <c r="K33" s="18" t="s">
        <v>349</v>
      </c>
      <c r="L33" s="20" t="s">
        <v>349</v>
      </c>
      <c r="M33" s="18" t="n">
        <v>5.99293788</v>
      </c>
      <c r="N33" s="20" t="n">
        <v>1.82594429</v>
      </c>
      <c r="O33" s="18" t="n">
        <v>0</v>
      </c>
      <c r="P33" s="20" t="n">
        <v>0</v>
      </c>
      <c r="Q33" s="18" t="n">
        <v>0</v>
      </c>
      <c r="R33" s="20" t="n">
        <v>0</v>
      </c>
      <c r="S33" s="18" t="n">
        <v>16.02299493</v>
      </c>
      <c r="T33" s="20" t="n">
        <v>2.00469823</v>
      </c>
    </row>
    <row r="34" spans="1:20">
      <c r="A34" s="15" t="s">
        <v>376</v>
      </c>
      <c r="B34" s="17" t="n">
        <v>3315</v>
      </c>
      <c r="C34" s="18">
        <f>(2917.0/B34*100)</f>
        <v/>
      </c>
      <c r="D34" s="19" t="n">
        <v>398</v>
      </c>
      <c r="E34" s="18" t="n">
        <v>39.28770003</v>
      </c>
      <c r="F34" s="20" t="n">
        <v>2.95125928</v>
      </c>
      <c r="G34" s="18" t="n">
        <v>24.75471552</v>
      </c>
      <c r="H34" s="20" t="n">
        <v>2.12542684</v>
      </c>
      <c r="I34" s="18" t="n">
        <v>16.52311135</v>
      </c>
      <c r="J34" s="20" t="n">
        <v>2.02079825</v>
      </c>
      <c r="K34" s="18" t="s">
        <v>349</v>
      </c>
      <c r="L34" s="20" t="s">
        <v>349</v>
      </c>
      <c r="M34" s="18" t="n">
        <v>3.70383019</v>
      </c>
      <c r="N34" s="20" t="n">
        <v>0.9242893</v>
      </c>
      <c r="O34" s="18" t="n">
        <v>0</v>
      </c>
      <c r="P34" s="20" t="n">
        <v>0</v>
      </c>
      <c r="Q34" s="18" t="n">
        <v>0</v>
      </c>
      <c r="R34" s="20" t="n">
        <v>0</v>
      </c>
      <c r="S34" s="18" t="n">
        <v>15.73064292</v>
      </c>
      <c r="T34" s="20" t="n">
        <v>1.73786938</v>
      </c>
    </row>
    <row r="35" spans="1:20">
      <c r="A35" s="15" t="s">
        <v>377</v>
      </c>
      <c r="B35" s="17" t="n">
        <v>3505</v>
      </c>
      <c r="C35" s="18">
        <f>(3092.0/B35*100)</f>
        <v/>
      </c>
      <c r="D35" s="19" t="n">
        <v>413</v>
      </c>
      <c r="E35" s="18" t="n">
        <v>23.12620388</v>
      </c>
      <c r="F35" s="20" t="n">
        <v>2.49491622</v>
      </c>
      <c r="G35" s="18" t="n">
        <v>21.75724861</v>
      </c>
      <c r="H35" s="20" t="n">
        <v>2.65148456</v>
      </c>
      <c r="I35" s="18" t="n">
        <v>33.68859321</v>
      </c>
      <c r="J35" s="20" t="n">
        <v>3.03197713</v>
      </c>
      <c r="K35" s="18" t="s">
        <v>349</v>
      </c>
      <c r="L35" s="20" t="s">
        <v>349</v>
      </c>
      <c r="M35" s="18" t="n">
        <v>3.35206424</v>
      </c>
      <c r="N35" s="20" t="n">
        <v>0.8670651</v>
      </c>
      <c r="O35" s="18" t="n">
        <v>0.43379724</v>
      </c>
      <c r="P35" s="20" t="n">
        <v>0.43677146</v>
      </c>
      <c r="Q35" s="18" t="n">
        <v>0</v>
      </c>
      <c r="R35" s="20" t="n">
        <v>0</v>
      </c>
      <c r="S35" s="18" t="n">
        <v>17.64209283</v>
      </c>
      <c r="T35" s="20" t="n">
        <v>2.40282707</v>
      </c>
    </row>
    <row r="36" spans="1:20">
      <c r="A36" s="15" t="s">
        <v>378</v>
      </c>
      <c r="B36" s="17" t="n">
        <v>3332</v>
      </c>
      <c r="C36" s="18">
        <f>(2930.0/B36*100)</f>
        <v/>
      </c>
      <c r="D36" s="19" t="n">
        <v>402</v>
      </c>
      <c r="E36" s="18" t="n">
        <v>37.67296826</v>
      </c>
      <c r="F36" s="20" t="n">
        <v>2.38995288</v>
      </c>
      <c r="G36" s="18" t="n">
        <v>12.4627533</v>
      </c>
      <c r="H36" s="20" t="n">
        <v>1.53814074</v>
      </c>
      <c r="I36" s="18" t="n">
        <v>29.52552169</v>
      </c>
      <c r="J36" s="20" t="n">
        <v>2.22342869</v>
      </c>
      <c r="K36" s="18" t="s">
        <v>349</v>
      </c>
      <c r="L36" s="20" t="s">
        <v>349</v>
      </c>
      <c r="M36" s="18" t="n">
        <v>6.07427801</v>
      </c>
      <c r="N36" s="20" t="n">
        <v>1.31618014</v>
      </c>
      <c r="O36" s="18" t="n">
        <v>0</v>
      </c>
      <c r="P36" s="20" t="n">
        <v>0</v>
      </c>
      <c r="Q36" s="18" t="n">
        <v>0</v>
      </c>
      <c r="R36" s="20" t="n">
        <v>0</v>
      </c>
      <c r="S36" s="18" t="n">
        <v>14.26447873</v>
      </c>
      <c r="T36" s="20" t="n">
        <v>1.71665517</v>
      </c>
    </row>
    <row r="37" spans="1:20">
      <c r="A37" s="15" t="s">
        <v>379</v>
      </c>
      <c r="B37" s="17" t="n">
        <v>2727</v>
      </c>
      <c r="C37" s="18">
        <f>(2405.0/B37*100)</f>
        <v/>
      </c>
      <c r="D37" s="19" t="n">
        <v>322</v>
      </c>
      <c r="E37" s="18" t="n">
        <v>25.89073102</v>
      </c>
      <c r="F37" s="20" t="n">
        <v>2.45658959</v>
      </c>
      <c r="G37" s="18" t="n">
        <v>7.91428957</v>
      </c>
      <c r="H37" s="20" t="n">
        <v>1.70422255</v>
      </c>
      <c r="I37" s="18" t="n">
        <v>43.73937837</v>
      </c>
      <c r="J37" s="20" t="n">
        <v>2.78249365</v>
      </c>
      <c r="K37" s="18" t="s">
        <v>349</v>
      </c>
      <c r="L37" s="20" t="s">
        <v>349</v>
      </c>
      <c r="M37" s="18" t="n">
        <v>7.09855797</v>
      </c>
      <c r="N37" s="20" t="n">
        <v>1.55930661</v>
      </c>
      <c r="O37" s="18" t="n">
        <v>0</v>
      </c>
      <c r="P37" s="20" t="n">
        <v>0</v>
      </c>
      <c r="Q37" s="18" t="n">
        <v>0</v>
      </c>
      <c r="R37" s="20" t="n">
        <v>0</v>
      </c>
      <c r="S37" s="18" t="n">
        <v>15.35704306</v>
      </c>
      <c r="T37" s="20" t="n">
        <v>2.19973382</v>
      </c>
    </row>
    <row r="38" spans="1:20">
      <c r="A38" s="15" t="s">
        <v>380</v>
      </c>
      <c r="B38" s="17" t="n">
        <v>3053</v>
      </c>
      <c r="C38" s="18">
        <f>(2526.0/B38*100)</f>
        <v/>
      </c>
      <c r="D38" s="19" t="n">
        <v>527</v>
      </c>
      <c r="E38" s="18" t="n">
        <v>21.10862808</v>
      </c>
      <c r="F38" s="20" t="n">
        <v>1.97325476</v>
      </c>
      <c r="G38" s="18" t="n">
        <v>21.90243567</v>
      </c>
      <c r="H38" s="20" t="n">
        <v>2.09573086</v>
      </c>
      <c r="I38" s="18" t="n">
        <v>39.59308405</v>
      </c>
      <c r="J38" s="20" t="n">
        <v>2.55237653</v>
      </c>
      <c r="K38" s="18" t="s">
        <v>349</v>
      </c>
      <c r="L38" s="20" t="s">
        <v>349</v>
      </c>
      <c r="M38" s="18" t="n">
        <v>2.46883212</v>
      </c>
      <c r="N38" s="20" t="n">
        <v>1.05602082</v>
      </c>
      <c r="O38" s="18" t="n">
        <v>0</v>
      </c>
      <c r="P38" s="20" t="n">
        <v>0</v>
      </c>
      <c r="Q38" s="18" t="n">
        <v>0</v>
      </c>
      <c r="R38" s="20" t="n">
        <v>0</v>
      </c>
      <c r="S38" s="18" t="n">
        <v>14.92702009</v>
      </c>
      <c r="T38" s="20" t="n">
        <v>1.92010078</v>
      </c>
    </row>
    <row r="39" spans="1:20">
      <c r="A39" s="15" t="s">
        <v>381</v>
      </c>
      <c r="B39" s="17" t="n">
        <v>2957</v>
      </c>
      <c r="C39" s="18">
        <f>(2613.0/B39*100)</f>
        <v/>
      </c>
      <c r="D39" s="19" t="n">
        <v>344</v>
      </c>
      <c r="E39" s="18" t="n">
        <v>41.88454787</v>
      </c>
      <c r="F39" s="20" t="n">
        <v>2.9273645</v>
      </c>
      <c r="G39" s="18" t="n">
        <v>6.51357417</v>
      </c>
      <c r="H39" s="20" t="n">
        <v>1.33334305</v>
      </c>
      <c r="I39" s="18" t="n">
        <v>20.23365457</v>
      </c>
      <c r="J39" s="20" t="n">
        <v>2.79979499</v>
      </c>
      <c r="K39" s="18" t="s">
        <v>349</v>
      </c>
      <c r="L39" s="20" t="s">
        <v>349</v>
      </c>
      <c r="M39" s="18" t="n">
        <v>3.03862475</v>
      </c>
      <c r="N39" s="20" t="n">
        <v>1.13883408</v>
      </c>
      <c r="O39" s="18" t="n">
        <v>0</v>
      </c>
      <c r="P39" s="20" t="n">
        <v>0</v>
      </c>
      <c r="Q39" s="18" t="n">
        <v>0</v>
      </c>
      <c r="R39" s="20" t="n">
        <v>0</v>
      </c>
      <c r="S39" s="18" t="n">
        <v>28.32959863</v>
      </c>
      <c r="T39" s="20" t="n">
        <v>2.58918321</v>
      </c>
    </row>
    <row r="40" spans="1:20">
      <c r="A40" s="15" t="s">
        <v>382</v>
      </c>
      <c r="B40" s="17" t="n">
        <v>7235</v>
      </c>
      <c r="C40" s="18">
        <f>(6352.0/B40*100)</f>
        <v/>
      </c>
      <c r="D40" s="19" t="n">
        <v>883</v>
      </c>
      <c r="E40" s="18" t="n">
        <v>30.2072488</v>
      </c>
      <c r="F40" s="20" t="n">
        <v>2.23659338</v>
      </c>
      <c r="G40" s="18" t="n">
        <v>9.273831039999999</v>
      </c>
      <c r="H40" s="20" t="n">
        <v>1.22629901</v>
      </c>
      <c r="I40" s="18" t="n">
        <v>41.512277</v>
      </c>
      <c r="J40" s="20" t="n">
        <v>2.48734806</v>
      </c>
      <c r="K40" s="18" t="s">
        <v>349</v>
      </c>
      <c r="L40" s="20" t="s">
        <v>349</v>
      </c>
      <c r="M40" s="18" t="n">
        <v>2.78508135</v>
      </c>
      <c r="N40" s="20" t="n">
        <v>0.73492912</v>
      </c>
      <c r="O40" s="18" t="n">
        <v>0.17466461</v>
      </c>
      <c r="P40" s="20" t="n">
        <v>0.16645371</v>
      </c>
      <c r="Q40" s="18" t="n">
        <v>0</v>
      </c>
      <c r="R40" s="20" t="n">
        <v>0</v>
      </c>
      <c r="S40" s="18" t="n">
        <v>16.04689719</v>
      </c>
      <c r="T40" s="20" t="n">
        <v>2.02750649</v>
      </c>
    </row>
    <row r="41" spans="1:20">
      <c r="A41" s="15" t="s">
        <v>383</v>
      </c>
      <c r="B41" s="17" t="n">
        <v>2858</v>
      </c>
      <c r="C41" s="18">
        <f>(2518.0/B41*100)</f>
        <v/>
      </c>
      <c r="D41" s="19" t="n">
        <v>340</v>
      </c>
      <c r="E41" s="18" t="n">
        <v>48.13403997</v>
      </c>
      <c r="F41" s="20" t="n">
        <v>2.8359686</v>
      </c>
      <c r="G41" s="18" t="n">
        <v>9.04286636</v>
      </c>
      <c r="H41" s="20" t="n">
        <v>1.46703608</v>
      </c>
      <c r="I41" s="18" t="n">
        <v>35.46301627</v>
      </c>
      <c r="J41" s="20" t="n">
        <v>3.00627487</v>
      </c>
      <c r="K41" s="18" t="s">
        <v>349</v>
      </c>
      <c r="L41" s="20" t="s">
        <v>349</v>
      </c>
      <c r="M41" s="18" t="n">
        <v>3.13717181</v>
      </c>
      <c r="N41" s="20" t="n">
        <v>1.2597407</v>
      </c>
      <c r="O41" s="18" t="n">
        <v>0</v>
      </c>
      <c r="P41" s="20" t="n">
        <v>0</v>
      </c>
      <c r="Q41" s="18" t="n">
        <v>0</v>
      </c>
      <c r="R41" s="20" t="n">
        <v>0</v>
      </c>
      <c r="S41" s="18" t="n">
        <v>4.22290559</v>
      </c>
      <c r="T41" s="20" t="n">
        <v>1.22038176</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11068</v>
      </c>
      <c r="C46" s="18">
        <f>(9933.0/B46*100)</f>
        <v/>
      </c>
      <c r="D46" s="19" t="n">
        <v>1135</v>
      </c>
      <c r="E46" s="18" t="n">
        <v>53.24975334</v>
      </c>
      <c r="F46" s="20" t="n">
        <v>2.03518666</v>
      </c>
      <c r="G46" s="18" t="n">
        <v>4.04420045</v>
      </c>
      <c r="H46" s="20" t="n">
        <v>0.65395344</v>
      </c>
      <c r="I46" s="18" t="n">
        <v>11.07424284</v>
      </c>
      <c r="J46" s="20" t="n">
        <v>1.56907061</v>
      </c>
      <c r="K46" s="18" t="s">
        <v>349</v>
      </c>
      <c r="L46" s="20" t="s">
        <v>349</v>
      </c>
      <c r="M46" s="18" t="n">
        <v>10.91021383</v>
      </c>
      <c r="N46" s="20" t="n">
        <v>1.34959266</v>
      </c>
      <c r="O46" s="18" t="n">
        <v>0.16748361</v>
      </c>
      <c r="P46" s="20" t="n">
        <v>0.16137353</v>
      </c>
      <c r="Q46" s="18" t="n">
        <v>0</v>
      </c>
      <c r="R46" s="20" t="n">
        <v>0</v>
      </c>
      <c r="S46" s="18" t="n">
        <v>20.55410594</v>
      </c>
      <c r="T46" s="20" t="n">
        <v>1.5236031</v>
      </c>
    </row>
    <row r="47" spans="1:20">
      <c r="A47" s="15" t="s">
        <v>389</v>
      </c>
      <c r="B47" s="17" t="n">
        <v>3105</v>
      </c>
      <c r="C47" s="18">
        <f>(2721.0/B47*100)</f>
        <v/>
      </c>
      <c r="D47" s="19" t="n">
        <v>384</v>
      </c>
      <c r="E47" s="18" t="n">
        <v>25.13626588</v>
      </c>
      <c r="F47" s="20" t="n">
        <v>2.50488348</v>
      </c>
      <c r="G47" s="18" t="n">
        <v>14.30118151</v>
      </c>
      <c r="H47" s="20" t="n">
        <v>1.93209222</v>
      </c>
      <c r="I47" s="18" t="n">
        <v>25.2497815</v>
      </c>
      <c r="J47" s="20" t="n">
        <v>2.48608521</v>
      </c>
      <c r="K47" s="18" t="s">
        <v>349</v>
      </c>
      <c r="L47" s="20" t="s">
        <v>349</v>
      </c>
      <c r="M47" s="18" t="n">
        <v>6.66697118</v>
      </c>
      <c r="N47" s="20" t="n">
        <v>1.29812552</v>
      </c>
      <c r="O47" s="18" t="n">
        <v>0</v>
      </c>
      <c r="P47" s="20" t="n">
        <v>0</v>
      </c>
      <c r="Q47" s="18" t="n">
        <v>0</v>
      </c>
      <c r="R47" s="20" t="n">
        <v>0</v>
      </c>
      <c r="S47" s="18" t="n">
        <v>28.64579993</v>
      </c>
      <c r="T47" s="20" t="n">
        <v>2.88613254</v>
      </c>
    </row>
    <row r="48" spans="1:20">
      <c r="A48" s="15" t="s">
        <v>390</v>
      </c>
      <c r="B48" s="17" t="n">
        <v>5159</v>
      </c>
      <c r="C48" s="18">
        <f>(4549.0/B48*100)</f>
        <v/>
      </c>
      <c r="D48" s="19" t="n">
        <v>610</v>
      </c>
      <c r="E48" s="18" t="n">
        <v>18.80482267</v>
      </c>
      <c r="F48" s="20" t="n">
        <v>2.1891911</v>
      </c>
      <c r="G48" s="18" t="n">
        <v>16.74358432</v>
      </c>
      <c r="H48" s="20" t="n">
        <v>1.86601566</v>
      </c>
      <c r="I48" s="18" t="n">
        <v>55.27564421</v>
      </c>
      <c r="J48" s="20" t="n">
        <v>3.21375514</v>
      </c>
      <c r="K48" s="18" t="s">
        <v>349</v>
      </c>
      <c r="L48" s="20" t="s">
        <v>349</v>
      </c>
      <c r="M48" s="18" t="n">
        <v>1.46242044</v>
      </c>
      <c r="N48" s="20" t="n">
        <v>0.80092363</v>
      </c>
      <c r="O48" s="18" t="n">
        <v>0.22486216</v>
      </c>
      <c r="P48" s="20" t="n">
        <v>0.15738493</v>
      </c>
      <c r="Q48" s="18" t="n">
        <v>0</v>
      </c>
      <c r="R48" s="20" t="n">
        <v>0</v>
      </c>
      <c r="S48" s="18" t="n">
        <v>7.4886662</v>
      </c>
      <c r="T48" s="20" t="n">
        <v>1.24942903</v>
      </c>
    </row>
    <row r="49" spans="1:20">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5637</v>
      </c>
      <c r="C50" s="18">
        <f>(4961.0/B50*100)</f>
        <v/>
      </c>
      <c r="D50" s="19" t="n">
        <v>676</v>
      </c>
      <c r="E50" s="18" t="n">
        <v>59.51886316</v>
      </c>
      <c r="F50" s="20" t="n">
        <v>2.49339465</v>
      </c>
      <c r="G50" s="18" t="n">
        <v>7.15665454</v>
      </c>
      <c r="H50" s="20" t="n">
        <v>1.20458124</v>
      </c>
      <c r="I50" s="18" t="n">
        <v>9.93426107</v>
      </c>
      <c r="J50" s="20" t="n">
        <v>1.55663851</v>
      </c>
      <c r="K50" s="18" t="s">
        <v>349</v>
      </c>
      <c r="L50" s="20" t="s">
        <v>349</v>
      </c>
      <c r="M50" s="18" t="n">
        <v>4.64950265</v>
      </c>
      <c r="N50" s="20" t="n">
        <v>1.39890504</v>
      </c>
      <c r="O50" s="18" t="n">
        <v>0.3474324</v>
      </c>
      <c r="P50" s="20" t="n">
        <v>0.24690539</v>
      </c>
      <c r="Q50" s="18" t="n">
        <v>0</v>
      </c>
      <c r="R50" s="20" t="n">
        <v>0</v>
      </c>
      <c r="S50" s="18" t="n">
        <v>18.39328618</v>
      </c>
      <c r="T50" s="20" t="n">
        <v>1.94300262</v>
      </c>
    </row>
    <row r="51" spans="1:20">
      <c r="A51" s="15" t="s">
        <v>393</v>
      </c>
      <c r="B51" s="17" t="n">
        <v>3372</v>
      </c>
      <c r="C51" s="18">
        <f>(3004.0/B51*100)</f>
        <v/>
      </c>
      <c r="D51" s="19" t="n">
        <v>368</v>
      </c>
      <c r="E51" s="18" t="n">
        <v>54.20911888</v>
      </c>
      <c r="F51" s="20" t="n">
        <v>2.70200734</v>
      </c>
      <c r="G51" s="18" t="n">
        <v>12.30918126</v>
      </c>
      <c r="H51" s="20" t="n">
        <v>1.6689083</v>
      </c>
      <c r="I51" s="18" t="n">
        <v>8.53194849</v>
      </c>
      <c r="J51" s="20" t="n">
        <v>1.39076251</v>
      </c>
      <c r="K51" s="18" t="s">
        <v>349</v>
      </c>
      <c r="L51" s="20" t="s">
        <v>349</v>
      </c>
      <c r="M51" s="18" t="n">
        <v>4.14755772</v>
      </c>
      <c r="N51" s="20" t="n">
        <v>1.46577435</v>
      </c>
      <c r="O51" s="18" t="n">
        <v>0</v>
      </c>
      <c r="P51" s="20" t="n">
        <v>0</v>
      </c>
      <c r="Q51" s="18" t="n">
        <v>0</v>
      </c>
      <c r="R51" s="20" t="n">
        <v>0</v>
      </c>
      <c r="S51" s="18" t="n">
        <v>20.80219366</v>
      </c>
      <c r="T51" s="20" t="n">
        <v>2.25537234</v>
      </c>
    </row>
    <row r="52" spans="1:20">
      <c r="A52" s="15" t="s">
        <v>394</v>
      </c>
      <c r="B52" s="17" t="n">
        <v>2796</v>
      </c>
      <c r="C52" s="18">
        <f>(2463.0/B52*100)</f>
        <v/>
      </c>
      <c r="D52" s="19" t="n">
        <v>333</v>
      </c>
      <c r="E52" s="18" t="n">
        <v>24.19579321</v>
      </c>
      <c r="F52" s="20" t="n">
        <v>2.26778997</v>
      </c>
      <c r="G52" s="18" t="n">
        <v>23.47232075</v>
      </c>
      <c r="H52" s="20" t="n">
        <v>1.91289922</v>
      </c>
      <c r="I52" s="18" t="n">
        <v>24.02157682</v>
      </c>
      <c r="J52" s="20" t="n">
        <v>2.68630726</v>
      </c>
      <c r="K52" s="18" t="s">
        <v>349</v>
      </c>
      <c r="L52" s="20" t="s">
        <v>349</v>
      </c>
      <c r="M52" s="18" t="n">
        <v>4.15873117</v>
      </c>
      <c r="N52" s="20" t="n">
        <v>1.1406336</v>
      </c>
      <c r="O52" s="18" t="n">
        <v>0</v>
      </c>
      <c r="P52" s="20" t="n">
        <v>0</v>
      </c>
      <c r="Q52" s="18" t="n">
        <v>0</v>
      </c>
      <c r="R52" s="20" t="n">
        <v>0</v>
      </c>
      <c r="S52" s="18" t="n">
        <v>24.15157805</v>
      </c>
      <c r="T52" s="20" t="n">
        <v>2.56246479</v>
      </c>
    </row>
    <row r="53" spans="1:20">
      <c r="A53" s="15" t="s">
        <v>395</v>
      </c>
      <c r="B53" s="17" t="n">
        <v>2811</v>
      </c>
      <c r="C53" s="18">
        <f>(2471.0/B53*100)</f>
        <v/>
      </c>
      <c r="D53" s="19" t="n">
        <v>340</v>
      </c>
      <c r="E53" s="18" t="n">
        <v>32.79576405</v>
      </c>
      <c r="F53" s="20" t="n">
        <v>2.72109865</v>
      </c>
      <c r="G53" s="18" t="n">
        <v>11.92611436</v>
      </c>
      <c r="H53" s="20" t="n">
        <v>1.65668259</v>
      </c>
      <c r="I53" s="18" t="n">
        <v>19.70176071</v>
      </c>
      <c r="J53" s="20" t="n">
        <v>2.55675646</v>
      </c>
      <c r="K53" s="18" t="s">
        <v>349</v>
      </c>
      <c r="L53" s="20" t="s">
        <v>349</v>
      </c>
      <c r="M53" s="18" t="n">
        <v>4.88632224</v>
      </c>
      <c r="N53" s="20" t="n">
        <v>1.22050597</v>
      </c>
      <c r="O53" s="18" t="n">
        <v>0</v>
      </c>
      <c r="P53" s="20" t="n">
        <v>0</v>
      </c>
      <c r="Q53" s="18" t="n">
        <v>0</v>
      </c>
      <c r="R53" s="20" t="n">
        <v>0</v>
      </c>
      <c r="S53" s="18" t="n">
        <v>30.69003863</v>
      </c>
      <c r="T53" s="20" t="n">
        <v>2.41563619</v>
      </c>
    </row>
    <row r="54" spans="1:20">
      <c r="A54" s="15" t="s">
        <v>396</v>
      </c>
      <c r="B54" s="17" t="n">
        <v>2266</v>
      </c>
      <c r="C54" s="18">
        <f>(1893.0/B54*100)</f>
        <v/>
      </c>
      <c r="D54" s="19" t="n">
        <v>373</v>
      </c>
      <c r="E54" s="18" t="n">
        <v>40.73382347</v>
      </c>
      <c r="F54" s="20" t="n">
        <v>2.90909128</v>
      </c>
      <c r="G54" s="18" t="n">
        <v>7.27443212</v>
      </c>
      <c r="H54" s="20" t="n">
        <v>1.4215924</v>
      </c>
      <c r="I54" s="18" t="n">
        <v>3.26989873</v>
      </c>
      <c r="J54" s="20" t="n">
        <v>1.03850349</v>
      </c>
      <c r="K54" s="18" t="s">
        <v>349</v>
      </c>
      <c r="L54" s="20" t="s">
        <v>349</v>
      </c>
      <c r="M54" s="18" t="n">
        <v>22.15470845</v>
      </c>
      <c r="N54" s="20" t="n">
        <v>2.55222502</v>
      </c>
      <c r="O54" s="18" t="n">
        <v>0.49635388</v>
      </c>
      <c r="P54" s="20" t="n">
        <v>0.4966251</v>
      </c>
      <c r="Q54" s="18" t="n">
        <v>0</v>
      </c>
      <c r="R54" s="20" t="n">
        <v>0</v>
      </c>
      <c r="S54" s="18" t="n">
        <v>26.07078335</v>
      </c>
      <c r="T54" s="20" t="n">
        <v>2.31243059</v>
      </c>
    </row>
    <row r="55" spans="1:20">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2684</v>
      </c>
      <c r="C56" s="18">
        <f>(2349.0/B56*100)</f>
        <v/>
      </c>
      <c r="D56" s="19" t="n">
        <v>335</v>
      </c>
      <c r="E56" s="18" t="n">
        <v>17.29052533</v>
      </c>
      <c r="F56" s="20" t="n">
        <v>2.5023175</v>
      </c>
      <c r="G56" s="18" t="n">
        <v>8.89338923</v>
      </c>
      <c r="H56" s="20" t="n">
        <v>1.59942836</v>
      </c>
      <c r="I56" s="18" t="n">
        <v>63.98422379</v>
      </c>
      <c r="J56" s="20" t="n">
        <v>3.3189344</v>
      </c>
      <c r="K56" s="18" t="s">
        <v>349</v>
      </c>
      <c r="L56" s="20" t="s">
        <v>349</v>
      </c>
      <c r="M56" s="18" t="n">
        <v>2.39657983</v>
      </c>
      <c r="N56" s="20" t="n">
        <v>0.99151551</v>
      </c>
      <c r="O56" s="18" t="n">
        <v>0.25546534</v>
      </c>
      <c r="P56" s="20" t="n">
        <v>0.24508004</v>
      </c>
      <c r="Q56" s="18" t="n">
        <v>0</v>
      </c>
      <c r="R56" s="20" t="n">
        <v>0</v>
      </c>
      <c r="S56" s="18" t="n">
        <v>7.17981649</v>
      </c>
      <c r="T56" s="20" t="n">
        <v>1.47518839</v>
      </c>
    </row>
    <row r="57" spans="1:20">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3324</v>
      </c>
      <c r="C61" s="18">
        <f>(2927.0/B61*100)</f>
        <v/>
      </c>
      <c r="D61" s="19" t="n">
        <v>397</v>
      </c>
      <c r="E61" s="18" t="n">
        <v>33.3366561</v>
      </c>
      <c r="F61" s="20" t="n">
        <v>2.91179836</v>
      </c>
      <c r="G61" s="18" t="n">
        <v>11.59148618</v>
      </c>
      <c r="H61" s="20" t="n">
        <v>1.55553185</v>
      </c>
      <c r="I61" s="18" t="n">
        <v>30.96975244</v>
      </c>
      <c r="J61" s="20" t="n">
        <v>2.65855656</v>
      </c>
      <c r="K61" s="18" t="s">
        <v>349</v>
      </c>
      <c r="L61" s="20" t="s">
        <v>349</v>
      </c>
      <c r="M61" s="18" t="n">
        <v>2.98530015</v>
      </c>
      <c r="N61" s="20" t="n">
        <v>0.99159619</v>
      </c>
      <c r="O61" s="18" t="n">
        <v>0</v>
      </c>
      <c r="P61" s="20" t="n">
        <v>0</v>
      </c>
      <c r="Q61" s="18" t="n">
        <v>0</v>
      </c>
      <c r="R61" s="20" t="n">
        <v>0</v>
      </c>
      <c r="S61" s="18" t="n">
        <v>21.11680513</v>
      </c>
      <c r="T61" s="20" t="n">
        <v>2.11895677</v>
      </c>
    </row>
    <row r="62" spans="1:20">
      <c r="A62" s="15" t="s">
        <v>404</v>
      </c>
      <c r="B62" s="17" t="n">
        <v>2246</v>
      </c>
      <c r="C62" s="18">
        <f>(1960.0/B62*100)</f>
        <v/>
      </c>
      <c r="D62" s="19" t="n">
        <v>286</v>
      </c>
      <c r="E62" s="18" t="n">
        <v>30.02586493</v>
      </c>
      <c r="F62" s="20" t="n">
        <v>2.40066382</v>
      </c>
      <c r="G62" s="18" t="n">
        <v>8.36599294</v>
      </c>
      <c r="H62" s="20" t="n">
        <v>1.48183938</v>
      </c>
      <c r="I62" s="18" t="n">
        <v>54.24900588</v>
      </c>
      <c r="J62" s="20" t="n">
        <v>2.63043543</v>
      </c>
      <c r="K62" s="18" t="s">
        <v>349</v>
      </c>
      <c r="L62" s="20" t="s">
        <v>349</v>
      </c>
      <c r="M62" s="18" t="n">
        <v>0.35110523</v>
      </c>
      <c r="N62" s="20" t="n">
        <v>0.34997492</v>
      </c>
      <c r="O62" s="18" t="n">
        <v>0.35110523</v>
      </c>
      <c r="P62" s="20" t="n">
        <v>0.35119114</v>
      </c>
      <c r="Q62" s="18" t="n">
        <v>0</v>
      </c>
      <c r="R62" s="20" t="n">
        <v>0</v>
      </c>
      <c r="S62" s="18" t="n">
        <v>6.65692579</v>
      </c>
      <c r="T62" s="20" t="n">
        <v>1.39856574</v>
      </c>
    </row>
    <row r="63" spans="1:20">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2894</v>
      </c>
      <c r="C66" s="18">
        <f>(2544.0/B66*100)</f>
        <v/>
      </c>
      <c r="D66" s="19" t="n">
        <v>350</v>
      </c>
      <c r="E66" s="18" t="n">
        <v>29.42338829</v>
      </c>
      <c r="F66" s="20" t="n">
        <v>2.4176125</v>
      </c>
      <c r="G66" s="18" t="n">
        <v>9.50797356</v>
      </c>
      <c r="H66" s="20" t="n">
        <v>1.29451609</v>
      </c>
      <c r="I66" s="18" t="n">
        <v>15.57334973</v>
      </c>
      <c r="J66" s="20" t="n">
        <v>1.73356432</v>
      </c>
      <c r="K66" s="18" t="s">
        <v>349</v>
      </c>
      <c r="L66" s="20" t="s">
        <v>349</v>
      </c>
      <c r="M66" s="18" t="n">
        <v>11.62371147</v>
      </c>
      <c r="N66" s="20" t="n">
        <v>1.74523156</v>
      </c>
      <c r="O66" s="18" t="n">
        <v>0.26706424</v>
      </c>
      <c r="P66" s="20" t="n">
        <v>0.26777064</v>
      </c>
      <c r="Q66" s="18" t="n">
        <v>0</v>
      </c>
      <c r="R66" s="20" t="n">
        <v>0</v>
      </c>
      <c r="S66" s="18" t="n">
        <v>33.60451271</v>
      </c>
      <c r="T66" s="20" t="n">
        <v>2.88338047</v>
      </c>
    </row>
    <row r="67" spans="1:20">
      <c r="A67" s="15" t="s">
        <v>409</v>
      </c>
      <c r="B67" s="17" t="n">
        <v>3511</v>
      </c>
      <c r="C67" s="18">
        <f>(3146.0/B67*100)</f>
        <v/>
      </c>
      <c r="D67" s="19" t="n">
        <v>365</v>
      </c>
      <c r="E67" s="18" t="n">
        <v>54.40473794</v>
      </c>
      <c r="F67" s="20" t="n">
        <v>2.79168028</v>
      </c>
      <c r="G67" s="18" t="n">
        <v>6.64211086</v>
      </c>
      <c r="H67" s="20" t="n">
        <v>1.24556566</v>
      </c>
      <c r="I67" s="18" t="n">
        <v>10.60810988</v>
      </c>
      <c r="J67" s="20" t="n">
        <v>1.70623327</v>
      </c>
      <c r="K67" s="18" t="s">
        <v>349</v>
      </c>
      <c r="L67" s="20" t="s">
        <v>349</v>
      </c>
      <c r="M67" s="18" t="n">
        <v>5.0106557</v>
      </c>
      <c r="N67" s="20" t="n">
        <v>1.19314358</v>
      </c>
      <c r="O67" s="18" t="n">
        <v>0</v>
      </c>
      <c r="P67" s="20" t="n">
        <v>0</v>
      </c>
      <c r="Q67" s="18" t="n">
        <v>0</v>
      </c>
      <c r="R67" s="20" t="n">
        <v>0</v>
      </c>
      <c r="S67" s="18" t="n">
        <v>23.33438563</v>
      </c>
      <c r="T67" s="20" t="n">
        <v>2.27136057</v>
      </c>
    </row>
    <row r="68" spans="1:20">
      <c r="A68" s="15" t="s">
        <v>410</v>
      </c>
      <c r="B68" s="17" t="n">
        <v>6049</v>
      </c>
      <c r="C68" s="18">
        <f>(5036.0/B68*100)</f>
        <v/>
      </c>
      <c r="D68" s="19" t="n">
        <v>1013</v>
      </c>
      <c r="E68" s="18" t="n">
        <v>46.20495196</v>
      </c>
      <c r="F68" s="20" t="n">
        <v>1.47759996</v>
      </c>
      <c r="G68" s="18" t="n">
        <v>10.14310481</v>
      </c>
      <c r="H68" s="20" t="n">
        <v>1.02383069</v>
      </c>
      <c r="I68" s="18" t="n">
        <v>17.92428233</v>
      </c>
      <c r="J68" s="20" t="n">
        <v>1.38207096</v>
      </c>
      <c r="K68" s="18" t="s">
        <v>349</v>
      </c>
      <c r="L68" s="20" t="s">
        <v>349</v>
      </c>
      <c r="M68" s="18" t="n">
        <v>7.18610718</v>
      </c>
      <c r="N68" s="20" t="n">
        <v>0.7408643499999999</v>
      </c>
      <c r="O68" s="18" t="n">
        <v>0</v>
      </c>
      <c r="P68" s="20" t="n">
        <v>0</v>
      </c>
      <c r="Q68" s="18" t="n">
        <v>0</v>
      </c>
      <c r="R68" s="20" t="n">
        <v>0</v>
      </c>
      <c r="S68" s="18" t="n">
        <v>18.54155372</v>
      </c>
      <c r="T68" s="20" t="n">
        <v>1.38749564</v>
      </c>
    </row>
    <row r="69" spans="1:20">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2929</v>
      </c>
      <c r="C70" s="18">
        <f>(2582.0/B70*100)</f>
        <v/>
      </c>
      <c r="D70" s="19" t="n">
        <v>347</v>
      </c>
      <c r="E70" s="18" t="n">
        <v>30.34155145</v>
      </c>
      <c r="F70" s="20" t="n">
        <v>2.70288771</v>
      </c>
      <c r="G70" s="18" t="n">
        <v>23.48335027</v>
      </c>
      <c r="H70" s="20" t="n">
        <v>2.49272708</v>
      </c>
      <c r="I70" s="18" t="n">
        <v>24.70831568</v>
      </c>
      <c r="J70" s="20" t="n">
        <v>2.64537897</v>
      </c>
      <c r="K70" s="18" t="s">
        <v>349</v>
      </c>
      <c r="L70" s="20" t="s">
        <v>349</v>
      </c>
      <c r="M70" s="18" t="n">
        <v>2.65580059</v>
      </c>
      <c r="N70" s="20" t="n">
        <v>1.04690987</v>
      </c>
      <c r="O70" s="18" t="n">
        <v>1.15680846</v>
      </c>
      <c r="P70" s="20" t="n">
        <v>0.50085356</v>
      </c>
      <c r="Q70" s="18" t="n">
        <v>0</v>
      </c>
      <c r="R70" s="20" t="n">
        <v>0</v>
      </c>
      <c r="S70" s="18" t="n">
        <v>17.65417355</v>
      </c>
      <c r="T70" s="20" t="n">
        <v>2.45401633</v>
      </c>
    </row>
    <row r="71" spans="1:20">
      <c r="A71" s="15" t="s">
        <v>413</v>
      </c>
      <c r="B71" s="17" t="n">
        <v>3142</v>
      </c>
      <c r="C71" s="18">
        <f>(2758.0/B71*100)</f>
        <v/>
      </c>
      <c r="D71" s="19" t="n">
        <v>384</v>
      </c>
      <c r="E71" s="18" t="n">
        <v>17.2563212</v>
      </c>
      <c r="F71" s="20" t="n">
        <v>1.76229766</v>
      </c>
      <c r="G71" s="18" t="n">
        <v>19.50793015</v>
      </c>
      <c r="H71" s="20" t="n">
        <v>2.26308831</v>
      </c>
      <c r="I71" s="18" t="n">
        <v>56.11307065</v>
      </c>
      <c r="J71" s="20" t="n">
        <v>2.69778773</v>
      </c>
      <c r="K71" s="18" t="s">
        <v>349</v>
      </c>
      <c r="L71" s="20" t="s">
        <v>349</v>
      </c>
      <c r="M71" s="18" t="n">
        <v>1.1857508</v>
      </c>
      <c r="N71" s="20" t="n">
        <v>0.73336362</v>
      </c>
      <c r="O71" s="18" t="n">
        <v>0</v>
      </c>
      <c r="P71" s="20" t="n">
        <v>0</v>
      </c>
      <c r="Q71" s="18" t="n">
        <v>0</v>
      </c>
      <c r="R71" s="20" t="n">
        <v>0</v>
      </c>
      <c r="S71" s="18" t="n">
        <v>5.93692721</v>
      </c>
      <c r="T71" s="20" t="n">
        <v>1.24357779</v>
      </c>
    </row>
    <row r="72" spans="1:20">
      <c r="A72" s="15" t="s">
        <v>414</v>
      </c>
      <c r="B72" s="17" t="n">
        <v>3889</v>
      </c>
      <c r="C72" s="18">
        <f>(3408.0/B72*100)</f>
        <v/>
      </c>
      <c r="D72" s="19" t="n">
        <v>481</v>
      </c>
      <c r="E72" s="18" t="n">
        <v>23.03754762</v>
      </c>
      <c r="F72" s="20" t="n">
        <v>1.93181465</v>
      </c>
      <c r="G72" s="18" t="n">
        <v>8.96306704</v>
      </c>
      <c r="H72" s="20" t="n">
        <v>1.35716325</v>
      </c>
      <c r="I72" s="18" t="n">
        <v>56.62641849</v>
      </c>
      <c r="J72" s="20" t="n">
        <v>2.74760074</v>
      </c>
      <c r="K72" s="18" t="s">
        <v>349</v>
      </c>
      <c r="L72" s="20" t="s">
        <v>349</v>
      </c>
      <c r="M72" s="18" t="n">
        <v>3.25806843</v>
      </c>
      <c r="N72" s="20" t="n">
        <v>0.92621556</v>
      </c>
      <c r="O72" s="18" t="n">
        <v>0</v>
      </c>
      <c r="P72" s="20" t="n">
        <v>0</v>
      </c>
      <c r="Q72" s="18" t="n">
        <v>0</v>
      </c>
      <c r="R72" s="20" t="n">
        <v>0</v>
      </c>
      <c r="S72" s="18" t="n">
        <v>8.11489841</v>
      </c>
      <c r="T72" s="20" t="n">
        <v>1.30455191</v>
      </c>
    </row>
    <row r="73" spans="1:20">
      <c r="A73" s="15" t="s">
        <v>415</v>
      </c>
      <c r="B73" s="17" t="n">
        <v>3597</v>
      </c>
      <c r="C73" s="18">
        <f>(3170.0/B73*100)</f>
        <v/>
      </c>
      <c r="D73" s="19" t="n">
        <v>427</v>
      </c>
      <c r="E73" s="18" t="n">
        <v>71.21132347</v>
      </c>
      <c r="F73" s="20" t="n">
        <v>2.4994629</v>
      </c>
      <c r="G73" s="18" t="n">
        <v>7.22632961</v>
      </c>
      <c r="H73" s="20" t="n">
        <v>1.58479059</v>
      </c>
      <c r="I73" s="18" t="n">
        <v>14.27018432</v>
      </c>
      <c r="J73" s="20" t="n">
        <v>1.91604694</v>
      </c>
      <c r="K73" s="18" t="s">
        <v>349</v>
      </c>
      <c r="L73" s="20" t="s">
        <v>349</v>
      </c>
      <c r="M73" s="18" t="n">
        <v>1.92982825</v>
      </c>
      <c r="N73" s="20" t="n">
        <v>1.11908727</v>
      </c>
      <c r="O73" s="18" t="n">
        <v>0.62321579</v>
      </c>
      <c r="P73" s="20" t="n">
        <v>0.57534766</v>
      </c>
      <c r="Q73" s="18" t="n">
        <v>0</v>
      </c>
      <c r="R73" s="20" t="n">
        <v>0</v>
      </c>
      <c r="S73" s="18" t="n">
        <v>4.73911857</v>
      </c>
      <c r="T73" s="20" t="n">
        <v>1.30164498</v>
      </c>
    </row>
    <row r="74" spans="1:20">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2406</v>
      </c>
      <c r="C75" s="18">
        <f>(2122.0/B75*100)</f>
        <v/>
      </c>
      <c r="D75" s="19" t="n">
        <v>284</v>
      </c>
      <c r="E75" s="18" t="n">
        <v>36.97590603</v>
      </c>
      <c r="F75" s="20" t="n">
        <v>2.61554269</v>
      </c>
      <c r="G75" s="18" t="n">
        <v>8.009808359999999</v>
      </c>
      <c r="H75" s="20" t="n">
        <v>1.68068016</v>
      </c>
      <c r="I75" s="18" t="n">
        <v>8.13683267</v>
      </c>
      <c r="J75" s="20" t="n">
        <v>1.47052169</v>
      </c>
      <c r="K75" s="18" t="s">
        <v>349</v>
      </c>
      <c r="L75" s="20" t="s">
        <v>349</v>
      </c>
      <c r="M75" s="18" t="n">
        <v>6.33407928</v>
      </c>
      <c r="N75" s="20" t="n">
        <v>1.40041781</v>
      </c>
      <c r="O75" s="18" t="n">
        <v>0.36430364</v>
      </c>
      <c r="P75" s="20" t="n">
        <v>0.40127218</v>
      </c>
      <c r="Q75" s="18" t="n">
        <v>0</v>
      </c>
      <c r="R75" s="20" t="n">
        <v>0</v>
      </c>
      <c r="S75" s="18" t="n">
        <v>40.17907002</v>
      </c>
      <c r="T75" s="20" t="n">
        <v>3.03811072</v>
      </c>
    </row>
    <row r="76" spans="1:20">
      <c r="A76" s="15" t="s">
        <v>418</v>
      </c>
      <c r="B76" s="17" t="n">
        <v>7052</v>
      </c>
      <c r="C76" s="18">
        <f>(6194.0/B76*100)</f>
        <v/>
      </c>
      <c r="D76" s="19" t="n">
        <v>858</v>
      </c>
      <c r="E76" s="18" t="n">
        <v>52.69970062</v>
      </c>
      <c r="F76" s="20" t="n">
        <v>2.46940827</v>
      </c>
      <c r="G76" s="18" t="n">
        <v>9.125287370000001</v>
      </c>
      <c r="H76" s="20" t="n">
        <v>1.21557634</v>
      </c>
      <c r="I76" s="18" t="n">
        <v>20.92812097</v>
      </c>
      <c r="J76" s="20" t="n">
        <v>1.83880142</v>
      </c>
      <c r="K76" s="18" t="s">
        <v>349</v>
      </c>
      <c r="L76" s="20" t="s">
        <v>349</v>
      </c>
      <c r="M76" s="18" t="n">
        <v>4.34132278</v>
      </c>
      <c r="N76" s="20" t="n">
        <v>0.89311089</v>
      </c>
      <c r="O76" s="18" t="n">
        <v>0.06116807</v>
      </c>
      <c r="P76" s="20" t="n">
        <v>0.06212286</v>
      </c>
      <c r="Q76" s="18" t="n">
        <v>0</v>
      </c>
      <c r="R76" s="20" t="n">
        <v>0</v>
      </c>
      <c r="S76" s="18" t="n">
        <v>12.8444002</v>
      </c>
      <c r="T76" s="20" t="n">
        <v>1.57200994</v>
      </c>
    </row>
    <row r="77" spans="1:20">
      <c r="A77" s="15" t="s">
        <v>419</v>
      </c>
      <c r="B77" s="17" t="n">
        <v>2908</v>
      </c>
      <c r="C77" s="18">
        <f>(2546.0/B77*100)</f>
        <v/>
      </c>
      <c r="D77" s="19" t="n">
        <v>362</v>
      </c>
      <c r="E77" s="18" t="n">
        <v>39.73535143</v>
      </c>
      <c r="F77" s="20" t="n">
        <v>2.91353473</v>
      </c>
      <c r="G77" s="18" t="n">
        <v>12.14834357</v>
      </c>
      <c r="H77" s="20" t="n">
        <v>1.74549564</v>
      </c>
      <c r="I77" s="18" t="n">
        <v>11.88114378</v>
      </c>
      <c r="J77" s="20" t="n">
        <v>1.58245853</v>
      </c>
      <c r="K77" s="18" t="s">
        <v>349</v>
      </c>
      <c r="L77" s="20" t="s">
        <v>349</v>
      </c>
      <c r="M77" s="18" t="n">
        <v>9.49598348</v>
      </c>
      <c r="N77" s="20" t="n">
        <v>1.84656971</v>
      </c>
      <c r="O77" s="18" t="n">
        <v>1.36295872</v>
      </c>
      <c r="P77" s="20" t="n">
        <v>0.6094908</v>
      </c>
      <c r="Q77" s="18" t="n">
        <v>0</v>
      </c>
      <c r="R77" s="20" t="n">
        <v>0</v>
      </c>
      <c r="S77" s="18" t="n">
        <v>25.37621903</v>
      </c>
      <c r="T77" s="20" t="n">
        <v>2.6172909</v>
      </c>
    </row>
    <row r="78" spans="1:20">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4163</v>
      </c>
      <c r="C81" s="18">
        <f>(3654.0/B81*100)</f>
        <v/>
      </c>
      <c r="D81" s="19" t="n">
        <v>509</v>
      </c>
      <c r="E81" s="18" t="n">
        <v>57.16453919</v>
      </c>
      <c r="F81" s="20" t="n">
        <v>2.71759893</v>
      </c>
      <c r="G81" s="18" t="n">
        <v>20.707414</v>
      </c>
      <c r="H81" s="20" t="n">
        <v>1.9209091</v>
      </c>
      <c r="I81" s="18" t="n">
        <v>11.76622516</v>
      </c>
      <c r="J81" s="20" t="n">
        <v>1.79871696</v>
      </c>
      <c r="K81" s="18" t="s">
        <v>349</v>
      </c>
      <c r="L81" s="20" t="s">
        <v>349</v>
      </c>
      <c r="M81" s="18" t="n">
        <v>1.2524889</v>
      </c>
      <c r="N81" s="20" t="n">
        <v>0.60165775</v>
      </c>
      <c r="O81" s="18" t="n">
        <v>0</v>
      </c>
      <c r="P81" s="20" t="n">
        <v>0</v>
      </c>
      <c r="Q81" s="18" t="n">
        <v>0</v>
      </c>
      <c r="R81" s="20" t="n">
        <v>0</v>
      </c>
      <c r="S81" s="18" t="n">
        <v>9.109332739999999</v>
      </c>
      <c r="T81" s="20" t="n">
        <v>1.76198736</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(6503.0/B7*100)</f>
        <v/>
      </c>
      <c r="D7" s="19" t="n">
        <v>864</v>
      </c>
      <c r="E7" s="18" t="n">
        <v>82.44629860000001</v>
      </c>
      <c r="F7" s="20" t="n">
        <v>1.49919033</v>
      </c>
      <c r="G7" s="18" t="n">
        <v>11.76807928</v>
      </c>
      <c r="H7" s="20" t="n">
        <v>1.32799213</v>
      </c>
      <c r="I7" s="18" t="s">
        <v>349</v>
      </c>
      <c r="J7" s="20" t="s">
        <v>349</v>
      </c>
      <c r="K7" s="18" t="n">
        <v>5.77031326</v>
      </c>
      <c r="L7" s="20" t="n">
        <v>0.8915152200000001</v>
      </c>
      <c r="M7" s="18" t="n">
        <v>0.01530887</v>
      </c>
      <c r="N7" s="20" t="n">
        <v>0.01543708</v>
      </c>
      <c r="O7" s="18" t="n">
        <v>0</v>
      </c>
      <c r="P7" s="20" t="n">
        <v>0</v>
      </c>
      <c r="Q7" s="18" t="n">
        <v>0</v>
      </c>
      <c r="R7" s="20" t="n">
        <v>0</v>
      </c>
    </row>
    <row r="8" spans="1:18">
      <c r="A8" s="15" t="s">
        <v>350</v>
      </c>
      <c r="B8" s="17" t="n">
        <v>3564</v>
      </c>
      <c r="C8" s="18">
        <f>(3100.0/B8*100)</f>
        <v/>
      </c>
      <c r="D8" s="19" t="n">
        <v>464</v>
      </c>
      <c r="E8" s="18" t="n">
        <v>74.34194287</v>
      </c>
      <c r="F8" s="20" t="n">
        <v>2.24685933</v>
      </c>
      <c r="G8" s="18" t="n">
        <v>18.21147381</v>
      </c>
      <c r="H8" s="20" t="n">
        <v>1.79418432</v>
      </c>
      <c r="I8" s="18" t="s">
        <v>349</v>
      </c>
      <c r="J8" s="20" t="s">
        <v>349</v>
      </c>
      <c r="K8" s="18" t="n">
        <v>7.44658332</v>
      </c>
      <c r="L8" s="20" t="n">
        <v>1.28108162</v>
      </c>
      <c r="M8" s="18" t="n">
        <v>0</v>
      </c>
      <c r="N8" s="20" t="n">
        <v>0</v>
      </c>
      <c r="O8" s="18" t="n">
        <v>0</v>
      </c>
      <c r="P8" s="20" t="n">
        <v>0</v>
      </c>
      <c r="Q8" s="18" t="n">
        <v>0</v>
      </c>
      <c r="R8" s="20" t="n">
        <v>0</v>
      </c>
    </row>
    <row r="9" spans="1:18">
      <c r="A9" s="15" t="s">
        <v>351</v>
      </c>
      <c r="B9" s="17" t="n">
        <v>4899</v>
      </c>
      <c r="C9" s="18">
        <f>(4330.0/B9*100)</f>
        <v/>
      </c>
      <c r="D9" s="19" t="n">
        <v>569</v>
      </c>
      <c r="E9" s="18" t="n">
        <v>80.25570503</v>
      </c>
      <c r="F9" s="20" t="n">
        <v>1.67170036</v>
      </c>
      <c r="G9" s="18" t="n">
        <v>12.67489198</v>
      </c>
      <c r="H9" s="20" t="n">
        <v>1.24771703</v>
      </c>
      <c r="I9" s="18" t="s">
        <v>349</v>
      </c>
      <c r="J9" s="20" t="s">
        <v>349</v>
      </c>
      <c r="K9" s="18" t="n">
        <v>7.06940299</v>
      </c>
      <c r="L9" s="20" t="n">
        <v>1.20592248</v>
      </c>
      <c r="M9" s="18" t="n">
        <v>0</v>
      </c>
      <c r="N9" s="20" t="n">
        <v>0</v>
      </c>
      <c r="O9" s="18" t="n">
        <v>0</v>
      </c>
      <c r="P9" s="20" t="n">
        <v>0</v>
      </c>
      <c r="Q9" s="18" t="n">
        <v>0</v>
      </c>
      <c r="R9" s="20" t="n">
        <v>0</v>
      </c>
    </row>
    <row r="10" spans="1:18">
      <c r="A10" s="15" t="s">
        <v>352</v>
      </c>
      <c r="B10" s="17" t="n">
        <v>10036</v>
      </c>
      <c r="C10" s="18">
        <f>(8817.0/B10*100)</f>
        <v/>
      </c>
      <c r="D10" s="19" t="n">
        <v>1219</v>
      </c>
      <c r="E10" s="18" t="n">
        <v>79.07220194999999</v>
      </c>
      <c r="F10" s="20" t="n">
        <v>1.80572957</v>
      </c>
      <c r="G10" s="18" t="n">
        <v>16.69203224</v>
      </c>
      <c r="H10" s="20" t="n">
        <v>1.51812189</v>
      </c>
      <c r="I10" s="18" t="s">
        <v>349</v>
      </c>
      <c r="J10" s="20" t="s">
        <v>349</v>
      </c>
      <c r="K10" s="18" t="n">
        <v>4.16282811</v>
      </c>
      <c r="L10" s="20" t="n">
        <v>0.85347655</v>
      </c>
      <c r="M10" s="18" t="n">
        <v>0.07293771</v>
      </c>
      <c r="N10" s="20" t="n">
        <v>0.03874874</v>
      </c>
      <c r="O10" s="18" t="n">
        <v>0</v>
      </c>
      <c r="P10" s="20" t="n">
        <v>0</v>
      </c>
      <c r="Q10" s="18" t="n">
        <v>0</v>
      </c>
      <c r="R10" s="20" t="n">
        <v>0</v>
      </c>
    </row>
    <row r="11" spans="1:18">
      <c r="A11" s="15" t="s">
        <v>353</v>
      </c>
      <c r="B11" s="17" t="n">
        <v>3553</v>
      </c>
      <c r="C11" s="18">
        <f>(3122.0/B11*100)</f>
        <v/>
      </c>
      <c r="D11" s="19" t="n">
        <v>431</v>
      </c>
      <c r="E11" s="18" t="n">
        <v>81.07654539000001</v>
      </c>
      <c r="F11" s="20" t="n">
        <v>2.16187466</v>
      </c>
      <c r="G11" s="18" t="n">
        <v>4.81076672</v>
      </c>
      <c r="H11" s="20" t="n">
        <v>1.11325474</v>
      </c>
      <c r="I11" s="18" t="s">
        <v>349</v>
      </c>
      <c r="J11" s="20" t="s">
        <v>349</v>
      </c>
      <c r="K11" s="18" t="n">
        <v>14.11268789</v>
      </c>
      <c r="L11" s="20" t="n">
        <v>1.96664194</v>
      </c>
      <c r="M11" s="18" t="n">
        <v>0</v>
      </c>
      <c r="N11" s="20" t="n">
        <v>0</v>
      </c>
      <c r="O11" s="18" t="n">
        <v>0</v>
      </c>
      <c r="P11" s="20" t="n">
        <v>0</v>
      </c>
      <c r="Q11" s="18" t="n">
        <v>0</v>
      </c>
      <c r="R11" s="20" t="n">
        <v>0</v>
      </c>
    </row>
    <row r="12" spans="1:18">
      <c r="A12" s="15" t="s">
        <v>354</v>
      </c>
      <c r="B12" s="17" t="n">
        <v>3472</v>
      </c>
      <c r="C12" s="18">
        <f>(3049.0/B12*100)</f>
        <v/>
      </c>
      <c r="D12" s="19" t="n">
        <v>423</v>
      </c>
      <c r="E12" s="18" t="n">
        <v>83.17076548999999</v>
      </c>
      <c r="F12" s="20" t="n">
        <v>1.75637208</v>
      </c>
      <c r="G12" s="18" t="n">
        <v>9.84301915</v>
      </c>
      <c r="H12" s="20" t="n">
        <v>1.56440002</v>
      </c>
      <c r="I12" s="18" t="s">
        <v>349</v>
      </c>
      <c r="J12" s="20" t="s">
        <v>349</v>
      </c>
      <c r="K12" s="18" t="n">
        <v>6.88278696</v>
      </c>
      <c r="L12" s="20" t="n">
        <v>1.34610371</v>
      </c>
      <c r="M12" s="18" t="n">
        <v>0.10342841</v>
      </c>
      <c r="N12" s="20" t="n">
        <v>0.10623268</v>
      </c>
      <c r="O12" s="18" t="n">
        <v>0</v>
      </c>
      <c r="P12" s="20" t="n">
        <v>0</v>
      </c>
      <c r="Q12" s="18" t="n">
        <v>0</v>
      </c>
      <c r="R12" s="20" t="n">
        <v>0</v>
      </c>
    </row>
    <row r="13" spans="1:18">
      <c r="A13" s="15" t="s">
        <v>355</v>
      </c>
      <c r="B13" s="17" t="n">
        <v>3559</v>
      </c>
      <c r="C13" s="18">
        <f>(3132.0/B13*100)</f>
        <v/>
      </c>
      <c r="D13" s="19" t="n">
        <v>427</v>
      </c>
      <c r="E13" s="18" t="n">
        <v>80.59292127000001</v>
      </c>
      <c r="F13" s="20" t="n">
        <v>2.46191198</v>
      </c>
      <c r="G13" s="18" t="n">
        <v>14.11211379</v>
      </c>
      <c r="H13" s="20" t="n">
        <v>1.99370782</v>
      </c>
      <c r="I13" s="18" t="s">
        <v>349</v>
      </c>
      <c r="J13" s="20" t="s">
        <v>349</v>
      </c>
      <c r="K13" s="18" t="n">
        <v>5.08887662</v>
      </c>
      <c r="L13" s="20" t="n">
        <v>1.20536791</v>
      </c>
      <c r="M13" s="18" t="n">
        <v>0.20608832</v>
      </c>
      <c r="N13" s="20" t="n">
        <v>0.20965621</v>
      </c>
      <c r="O13" s="18" t="n">
        <v>0</v>
      </c>
      <c r="P13" s="20" t="n">
        <v>0</v>
      </c>
      <c r="Q13" s="18" t="n">
        <v>0</v>
      </c>
      <c r="R13" s="20" t="n">
        <v>0</v>
      </c>
    </row>
    <row r="14" spans="1:18">
      <c r="A14" s="15" t="s">
        <v>356</v>
      </c>
      <c r="B14" s="17" t="n">
        <v>2799</v>
      </c>
      <c r="C14" s="18">
        <f>(2474.0/B14*100)</f>
        <v/>
      </c>
      <c r="D14" s="19" t="n">
        <v>325</v>
      </c>
      <c r="E14" s="18" t="n">
        <v>74.54121683</v>
      </c>
      <c r="F14" s="20" t="n">
        <v>2.82692217</v>
      </c>
      <c r="G14" s="18" t="n">
        <v>20.47277313</v>
      </c>
      <c r="H14" s="20" t="n">
        <v>2.4133106</v>
      </c>
      <c r="I14" s="18" t="s">
        <v>349</v>
      </c>
      <c r="J14" s="20" t="s">
        <v>349</v>
      </c>
      <c r="K14" s="18" t="n">
        <v>4.98601004</v>
      </c>
      <c r="L14" s="20" t="n">
        <v>1.39493371</v>
      </c>
      <c r="M14" s="18" t="n">
        <v>0</v>
      </c>
      <c r="N14" s="20" t="n">
        <v>0</v>
      </c>
      <c r="O14" s="18" t="n">
        <v>0</v>
      </c>
      <c r="P14" s="20" t="n">
        <v>0</v>
      </c>
      <c r="Q14" s="18" t="n">
        <v>0</v>
      </c>
      <c r="R14" s="20" t="n">
        <v>0</v>
      </c>
    </row>
    <row r="15" spans="1:18">
      <c r="A15" s="15" t="s">
        <v>357</v>
      </c>
      <c r="B15" s="17" t="n">
        <v>3019</v>
      </c>
      <c r="C15" s="18">
        <f>(2649.0/B15*100)</f>
        <v/>
      </c>
      <c r="D15" s="19" t="n">
        <v>370</v>
      </c>
      <c r="E15" s="18" t="n">
        <v>77.47646331</v>
      </c>
      <c r="F15" s="20" t="n">
        <v>2.51679179</v>
      </c>
      <c r="G15" s="18" t="n">
        <v>13.13644698</v>
      </c>
      <c r="H15" s="20" t="n">
        <v>2.18600252</v>
      </c>
      <c r="I15" s="18" t="s">
        <v>349</v>
      </c>
      <c r="J15" s="20" t="s">
        <v>349</v>
      </c>
      <c r="K15" s="18" t="n">
        <v>9.38708971</v>
      </c>
      <c r="L15" s="20" t="n">
        <v>1.77670602</v>
      </c>
      <c r="M15" s="18" t="n">
        <v>0</v>
      </c>
      <c r="N15" s="20" t="n">
        <v>0</v>
      </c>
      <c r="O15" s="18" t="n">
        <v>0</v>
      </c>
      <c r="P15" s="20" t="n">
        <v>0</v>
      </c>
      <c r="Q15" s="18" t="n">
        <v>0</v>
      </c>
      <c r="R15" s="20" t="n">
        <v>0</v>
      </c>
    </row>
    <row r="16" spans="1:18">
      <c r="A16" s="15" t="s">
        <v>358</v>
      </c>
      <c r="B16" s="17" t="n">
        <v>2997</v>
      </c>
      <c r="C16" s="18">
        <f>(2623.0/B16*100)</f>
        <v/>
      </c>
      <c r="D16" s="19" t="n">
        <v>374</v>
      </c>
      <c r="E16" s="18" t="n">
        <v>75.4597071</v>
      </c>
      <c r="F16" s="20" t="n">
        <v>2.23413999</v>
      </c>
      <c r="G16" s="18" t="n">
        <v>10.24678787</v>
      </c>
      <c r="H16" s="20" t="n">
        <v>1.4311497</v>
      </c>
      <c r="I16" s="18" t="s">
        <v>349</v>
      </c>
      <c r="J16" s="20" t="s">
        <v>349</v>
      </c>
      <c r="K16" s="18" t="n">
        <v>14.29350502</v>
      </c>
      <c r="L16" s="20" t="n">
        <v>1.85077432</v>
      </c>
      <c r="M16" s="18" t="n">
        <v>0</v>
      </c>
      <c r="N16" s="20" t="n">
        <v>0</v>
      </c>
      <c r="O16" s="18" t="n">
        <v>0</v>
      </c>
      <c r="P16" s="20" t="n">
        <v>0</v>
      </c>
      <c r="Q16" s="18" t="n">
        <v>0</v>
      </c>
      <c r="R16" s="20" t="n">
        <v>0</v>
      </c>
    </row>
    <row r="17" spans="1:18">
      <c r="A17" s="15" t="s">
        <v>359</v>
      </c>
      <c r="B17" s="17" t="n">
        <v>3307</v>
      </c>
      <c r="C17" s="18">
        <f>(2892.0/B17*100)</f>
        <v/>
      </c>
      <c r="D17" s="19" t="n">
        <v>415</v>
      </c>
      <c r="E17" s="18" t="n">
        <v>72.36903957</v>
      </c>
      <c r="F17" s="20" t="n">
        <v>2.06151211</v>
      </c>
      <c r="G17" s="18" t="n">
        <v>17.8312609</v>
      </c>
      <c r="H17" s="20" t="n">
        <v>1.97780255</v>
      </c>
      <c r="I17" s="18" t="s">
        <v>349</v>
      </c>
      <c r="J17" s="20" t="s">
        <v>349</v>
      </c>
      <c r="K17" s="18" t="n">
        <v>9.79969953</v>
      </c>
      <c r="L17" s="20" t="n">
        <v>1.16528911</v>
      </c>
      <c r="M17" s="18" t="n">
        <v>0</v>
      </c>
      <c r="N17" s="20" t="n">
        <v>0</v>
      </c>
      <c r="O17" s="18" t="n">
        <v>0</v>
      </c>
      <c r="P17" s="20" t="n">
        <v>0</v>
      </c>
      <c r="Q17" s="18" t="n">
        <v>0</v>
      </c>
      <c r="R17" s="20" t="n">
        <v>0</v>
      </c>
    </row>
    <row r="18" spans="1:18">
      <c r="A18" s="15" t="s">
        <v>360</v>
      </c>
      <c r="B18" s="17" t="n">
        <v>2826</v>
      </c>
      <c r="C18" s="18">
        <f>(2483.0/B18*100)</f>
        <v/>
      </c>
      <c r="D18" s="19" t="n">
        <v>343</v>
      </c>
      <c r="E18" s="18" t="n">
        <v>86.55837631999999</v>
      </c>
      <c r="F18" s="20" t="n">
        <v>1.71503101</v>
      </c>
      <c r="G18" s="18" t="n">
        <v>6.11256088</v>
      </c>
      <c r="H18" s="20" t="n">
        <v>1.20988752</v>
      </c>
      <c r="I18" s="18" t="s">
        <v>349</v>
      </c>
      <c r="J18" s="20" t="s">
        <v>349</v>
      </c>
      <c r="K18" s="18" t="n">
        <v>7.3290628</v>
      </c>
      <c r="L18" s="20" t="n">
        <v>1.60488485</v>
      </c>
      <c r="M18" s="18" t="n">
        <v>0</v>
      </c>
      <c r="N18" s="20" t="n">
        <v>0</v>
      </c>
      <c r="O18" s="18" t="n">
        <v>0</v>
      </c>
      <c r="P18" s="20" t="n">
        <v>0</v>
      </c>
      <c r="Q18" s="18" t="n">
        <v>0</v>
      </c>
      <c r="R18" s="20" t="n">
        <v>0</v>
      </c>
    </row>
    <row r="19" spans="1:18">
      <c r="A19" s="15" t="s">
        <v>361</v>
      </c>
      <c r="B19" s="17" t="n">
        <v>2808</v>
      </c>
      <c r="C19" s="18">
        <f>(2469.0/B19*100)</f>
        <v/>
      </c>
      <c r="D19" s="19" t="n">
        <v>339</v>
      </c>
      <c r="E19" s="18" t="n">
        <v>84.50576537000001</v>
      </c>
      <c r="F19" s="20" t="n">
        <v>2.03637622</v>
      </c>
      <c r="G19" s="18" t="n">
        <v>8.659699489999999</v>
      </c>
      <c r="H19" s="20" t="n">
        <v>1.5696406</v>
      </c>
      <c r="I19" s="18" t="s">
        <v>349</v>
      </c>
      <c r="J19" s="20" t="s">
        <v>349</v>
      </c>
      <c r="K19" s="18" t="n">
        <v>6.83453514</v>
      </c>
      <c r="L19" s="20" t="n">
        <v>1.50978248</v>
      </c>
      <c r="M19" s="18" t="n">
        <v>0</v>
      </c>
      <c r="N19" s="20" t="n">
        <v>0</v>
      </c>
      <c r="O19" s="18" t="n">
        <v>0</v>
      </c>
      <c r="P19" s="20" t="n">
        <v>0</v>
      </c>
      <c r="Q19" s="18" t="n">
        <v>0</v>
      </c>
      <c r="R19" s="20" t="n">
        <v>0</v>
      </c>
    </row>
    <row r="20" spans="1:18">
      <c r="A20" s="15" t="s">
        <v>362</v>
      </c>
      <c r="B20" s="17" t="n">
        <v>1630</v>
      </c>
      <c r="C20" s="18">
        <f>(1427.0/B20*100)</f>
        <v/>
      </c>
      <c r="D20" s="19" t="n">
        <v>203</v>
      </c>
      <c r="E20" s="18" t="n">
        <v>87.16782256</v>
      </c>
      <c r="F20" s="20" t="n">
        <v>2.14713042</v>
      </c>
      <c r="G20" s="18" t="n">
        <v>7.40729056</v>
      </c>
      <c r="H20" s="20" t="n">
        <v>1.8238819</v>
      </c>
      <c r="I20" s="18" t="s">
        <v>349</v>
      </c>
      <c r="J20" s="20" t="s">
        <v>349</v>
      </c>
      <c r="K20" s="18" t="n">
        <v>4.66583331</v>
      </c>
      <c r="L20" s="20" t="n">
        <v>1.37322478</v>
      </c>
      <c r="M20" s="18" t="n">
        <v>0.75905357</v>
      </c>
      <c r="N20" s="20" t="n">
        <v>0.55711755</v>
      </c>
      <c r="O20" s="18" t="n">
        <v>0</v>
      </c>
      <c r="P20" s="20" t="n">
        <v>0</v>
      </c>
      <c r="Q20" s="18" t="n">
        <v>0</v>
      </c>
      <c r="R20" s="20" t="n">
        <v>0</v>
      </c>
    </row>
    <row r="21" spans="1:18">
      <c r="A21" s="15" t="s">
        <v>363</v>
      </c>
      <c r="B21" s="17" t="n">
        <v>2908</v>
      </c>
      <c r="C21" s="18">
        <f>(2408.0/B21*100)</f>
        <v/>
      </c>
      <c r="D21" s="19" t="n">
        <v>500</v>
      </c>
      <c r="E21" s="18" t="n">
        <v>84.09148072000001</v>
      </c>
      <c r="F21" s="20" t="n">
        <v>1.80472586</v>
      </c>
      <c r="G21" s="18" t="n">
        <v>11.08719972</v>
      </c>
      <c r="H21" s="20" t="n">
        <v>1.47330639</v>
      </c>
      <c r="I21" s="18" t="s">
        <v>349</v>
      </c>
      <c r="J21" s="20" t="s">
        <v>349</v>
      </c>
      <c r="K21" s="18" t="n">
        <v>4.82131956</v>
      </c>
      <c r="L21" s="20" t="n">
        <v>0.95961737</v>
      </c>
      <c r="M21" s="18" t="n">
        <v>0</v>
      </c>
      <c r="N21" s="20" t="n">
        <v>0</v>
      </c>
      <c r="O21" s="18" t="n">
        <v>0</v>
      </c>
      <c r="P21" s="20" t="n">
        <v>0</v>
      </c>
      <c r="Q21" s="18" t="n">
        <v>0</v>
      </c>
      <c r="R21" s="20" t="n">
        <v>0</v>
      </c>
    </row>
    <row r="22" spans="1:18">
      <c r="A22" s="15" t="s">
        <v>364</v>
      </c>
      <c r="B22" s="17" t="n">
        <v>2931</v>
      </c>
      <c r="C22" s="18">
        <f>(2566.0/B22*100)</f>
        <v/>
      </c>
      <c r="D22" s="19" t="n">
        <v>365</v>
      </c>
      <c r="E22" s="18" t="n">
        <v>82.3778939</v>
      </c>
      <c r="F22" s="20" t="n">
        <v>2.26197278</v>
      </c>
      <c r="G22" s="18" t="n">
        <v>7.08751935</v>
      </c>
      <c r="H22" s="20" t="n">
        <v>1.32314931</v>
      </c>
      <c r="I22" s="18" t="s">
        <v>349</v>
      </c>
      <c r="J22" s="20" t="s">
        <v>349</v>
      </c>
      <c r="K22" s="18" t="n">
        <v>10.53458675</v>
      </c>
      <c r="L22" s="20" t="n">
        <v>1.99219409</v>
      </c>
      <c r="M22" s="18" t="n">
        <v>0</v>
      </c>
      <c r="N22" s="20" t="n">
        <v>0</v>
      </c>
      <c r="O22" s="18" t="n">
        <v>0</v>
      </c>
      <c r="P22" s="20" t="n">
        <v>0</v>
      </c>
      <c r="Q22" s="18" t="n">
        <v>0</v>
      </c>
      <c r="R22" s="20" t="n">
        <v>0</v>
      </c>
    </row>
    <row r="23" spans="1:18">
      <c r="A23" s="15" t="s">
        <v>365</v>
      </c>
      <c r="B23" s="17" t="n">
        <v>5791</v>
      </c>
      <c r="C23" s="18">
        <f>(5100.0/B23*100)</f>
        <v/>
      </c>
      <c r="D23" s="19" t="n">
        <v>691</v>
      </c>
      <c r="E23" s="18" t="n">
        <v>80.06303627</v>
      </c>
      <c r="F23" s="20" t="n">
        <v>1.88744388</v>
      </c>
      <c r="G23" s="18" t="n">
        <v>9.958766219999999</v>
      </c>
      <c r="H23" s="20" t="n">
        <v>1.22009868</v>
      </c>
      <c r="I23" s="18" t="s">
        <v>349</v>
      </c>
      <c r="J23" s="20" t="s">
        <v>349</v>
      </c>
      <c r="K23" s="18" t="n">
        <v>9.63473947</v>
      </c>
      <c r="L23" s="20" t="n">
        <v>1.58244466</v>
      </c>
      <c r="M23" s="18" t="n">
        <v>0.34345803</v>
      </c>
      <c r="N23" s="20" t="n">
        <v>0.36966264</v>
      </c>
      <c r="O23" s="18" t="n">
        <v>0</v>
      </c>
      <c r="P23" s="20" t="n">
        <v>0</v>
      </c>
      <c r="Q23" s="18" t="n">
        <v>0</v>
      </c>
      <c r="R23" s="20" t="n">
        <v>0</v>
      </c>
    </row>
    <row r="24" spans="1:18">
      <c r="A24" s="15" t="s">
        <v>366</v>
      </c>
      <c r="B24" s="17" t="n">
        <v>3338</v>
      </c>
      <c r="C24" s="18">
        <f>(2945.0/B24*100)</f>
        <v/>
      </c>
      <c r="D24" s="19" t="n">
        <v>393</v>
      </c>
      <c r="E24" s="18" t="n">
        <v>83.17890482999999</v>
      </c>
      <c r="F24" s="20" t="n">
        <v>1.72660511</v>
      </c>
      <c r="G24" s="18" t="n">
        <v>11.19790442</v>
      </c>
      <c r="H24" s="20" t="n">
        <v>1.579934</v>
      </c>
      <c r="I24" s="18" t="s">
        <v>349</v>
      </c>
      <c r="J24" s="20" t="s">
        <v>349</v>
      </c>
      <c r="K24" s="18" t="n">
        <v>5.62319075</v>
      </c>
      <c r="L24" s="20" t="n">
        <v>1.1824312</v>
      </c>
      <c r="M24" s="18" t="n">
        <v>0</v>
      </c>
      <c r="N24" s="20" t="n">
        <v>0</v>
      </c>
      <c r="O24" s="18" t="n">
        <v>0</v>
      </c>
      <c r="P24" s="20" t="n">
        <v>0</v>
      </c>
      <c r="Q24" s="18" t="n">
        <v>0</v>
      </c>
      <c r="R24" s="20" t="n">
        <v>0</v>
      </c>
    </row>
    <row r="25" spans="1:18">
      <c r="A25" s="15" t="s">
        <v>367</v>
      </c>
      <c r="B25" s="17" t="n">
        <v>2912</v>
      </c>
      <c r="C25" s="18">
        <f>(2558.0/B25*100)</f>
        <v/>
      </c>
      <c r="D25" s="19" t="n">
        <v>354</v>
      </c>
      <c r="E25" s="18" t="n">
        <v>82.66177086</v>
      </c>
      <c r="F25" s="20" t="n">
        <v>2.12915865</v>
      </c>
      <c r="G25" s="18" t="n">
        <v>12.11775286</v>
      </c>
      <c r="H25" s="20" t="n">
        <v>1.85292622</v>
      </c>
      <c r="I25" s="18" t="s">
        <v>349</v>
      </c>
      <c r="J25" s="20" t="s">
        <v>349</v>
      </c>
      <c r="K25" s="18" t="n">
        <v>5.22047628</v>
      </c>
      <c r="L25" s="20" t="n">
        <v>1.37442111</v>
      </c>
      <c r="M25" s="18" t="n">
        <v>0</v>
      </c>
      <c r="N25" s="20" t="n">
        <v>0</v>
      </c>
      <c r="O25" s="18" t="n">
        <v>0</v>
      </c>
      <c r="P25" s="20" t="n">
        <v>0</v>
      </c>
      <c r="Q25" s="18" t="n">
        <v>0</v>
      </c>
      <c r="R25" s="20" t="n">
        <v>0</v>
      </c>
    </row>
    <row r="26" spans="1:18">
      <c r="A26" s="15" t="s">
        <v>368</v>
      </c>
      <c r="B26" s="17" t="n">
        <v>2450</v>
      </c>
      <c r="C26" s="18">
        <f>(2154.0/B26*100)</f>
        <v/>
      </c>
      <c r="D26" s="19" t="n">
        <v>296</v>
      </c>
      <c r="E26" s="18" t="n">
        <v>88.75718709</v>
      </c>
      <c r="F26" s="20" t="n">
        <v>2.06819972</v>
      </c>
      <c r="G26" s="18" t="n">
        <v>6.09715222</v>
      </c>
      <c r="H26" s="20" t="n">
        <v>1.50550139</v>
      </c>
      <c r="I26" s="18" t="s">
        <v>349</v>
      </c>
      <c r="J26" s="20" t="s">
        <v>349</v>
      </c>
      <c r="K26" s="18" t="n">
        <v>5.14566068</v>
      </c>
      <c r="L26" s="20" t="n">
        <v>1.13470383</v>
      </c>
      <c r="M26" s="18" t="n">
        <v>0</v>
      </c>
      <c r="N26" s="20" t="n">
        <v>0</v>
      </c>
      <c r="O26" s="18" t="n">
        <v>0</v>
      </c>
      <c r="P26" s="20" t="n">
        <v>0</v>
      </c>
      <c r="Q26" s="18" t="n">
        <v>0</v>
      </c>
      <c r="R26" s="20" t="n">
        <v>0</v>
      </c>
    </row>
    <row r="27" spans="1:18">
      <c r="A27" s="15" t="s">
        <v>369</v>
      </c>
      <c r="B27" s="17" t="n">
        <v>2616</v>
      </c>
      <c r="C27" s="18">
        <f>(2304.0/B27*100)</f>
        <v/>
      </c>
      <c r="D27" s="19" t="n">
        <v>312</v>
      </c>
      <c r="E27" s="18" t="n">
        <v>81.7218702</v>
      </c>
      <c r="F27" s="20" t="n">
        <v>2.24410416</v>
      </c>
      <c r="G27" s="18" t="n">
        <v>10.17714781</v>
      </c>
      <c r="H27" s="20" t="n">
        <v>1.63709446</v>
      </c>
      <c r="I27" s="18" t="s">
        <v>349</v>
      </c>
      <c r="J27" s="20" t="s">
        <v>349</v>
      </c>
      <c r="K27" s="18" t="n">
        <v>8.100981989999999</v>
      </c>
      <c r="L27" s="20" t="n">
        <v>1.47464093</v>
      </c>
      <c r="M27" s="18" t="n">
        <v>0</v>
      </c>
      <c r="N27" s="20" t="n">
        <v>0</v>
      </c>
      <c r="O27" s="18" t="n">
        <v>0</v>
      </c>
      <c r="P27" s="20" t="n">
        <v>0</v>
      </c>
      <c r="Q27" s="18" t="n">
        <v>0</v>
      </c>
      <c r="R27" s="20" t="n">
        <v>0</v>
      </c>
    </row>
    <row r="28" spans="1:18">
      <c r="A28" s="15" t="s">
        <v>370</v>
      </c>
      <c r="B28" s="17" t="n">
        <v>3765</v>
      </c>
      <c r="C28" s="18">
        <f>(3317.0/B28*100)</f>
        <v/>
      </c>
      <c r="D28" s="19" t="n">
        <v>448</v>
      </c>
      <c r="E28" s="18" t="n">
        <v>89.53026247</v>
      </c>
      <c r="F28" s="20" t="n">
        <v>1.62685991</v>
      </c>
      <c r="G28" s="18" t="n">
        <v>6.18802758</v>
      </c>
      <c r="H28" s="20" t="n">
        <v>1.31726513</v>
      </c>
      <c r="I28" s="18" t="s">
        <v>349</v>
      </c>
      <c r="J28" s="20" t="s">
        <v>349</v>
      </c>
      <c r="K28" s="18" t="n">
        <v>4.28170995</v>
      </c>
      <c r="L28" s="20" t="n">
        <v>1.02861679</v>
      </c>
      <c r="M28" s="18" t="n">
        <v>0</v>
      </c>
      <c r="N28" s="20" t="n">
        <v>0</v>
      </c>
      <c r="O28" s="18" t="n">
        <v>0</v>
      </c>
      <c r="P28" s="20" t="n">
        <v>0</v>
      </c>
      <c r="Q28" s="18" t="n">
        <v>0</v>
      </c>
      <c r="R28" s="20" t="n">
        <v>0</v>
      </c>
    </row>
    <row r="29" spans="1:18">
      <c r="A29" s="15" t="s">
        <v>371</v>
      </c>
      <c r="B29" s="17" t="n">
        <v>2685</v>
      </c>
      <c r="C29" s="18">
        <f>(2405.0/B29*100)</f>
        <v/>
      </c>
      <c r="D29" s="19" t="n">
        <v>280</v>
      </c>
      <c r="E29" s="18" t="n">
        <v>85.75135365</v>
      </c>
      <c r="F29" s="20" t="n">
        <v>2.37941804</v>
      </c>
      <c r="G29" s="18" t="n">
        <v>11.57177731</v>
      </c>
      <c r="H29" s="20" t="n">
        <v>1.74328523</v>
      </c>
      <c r="I29" s="18" t="s">
        <v>349</v>
      </c>
      <c r="J29" s="20" t="s">
        <v>349</v>
      </c>
      <c r="K29" s="18" t="n">
        <v>2.67686905</v>
      </c>
      <c r="L29" s="20" t="n">
        <v>1.19800881</v>
      </c>
      <c r="M29" s="18" t="n">
        <v>0</v>
      </c>
      <c r="N29" s="20" t="n">
        <v>0</v>
      </c>
      <c r="O29" s="18" t="n">
        <v>0</v>
      </c>
      <c r="P29" s="20" t="n">
        <v>0</v>
      </c>
      <c r="Q29" s="18" t="n">
        <v>0</v>
      </c>
      <c r="R29" s="20" t="n">
        <v>0</v>
      </c>
    </row>
    <row r="30" spans="1:18">
      <c r="A30" s="15" t="s">
        <v>372</v>
      </c>
      <c r="B30" s="17" t="n">
        <v>2263</v>
      </c>
      <c r="C30" s="18">
        <f>(1997.0/B30*100)</f>
        <v/>
      </c>
      <c r="D30" s="19" t="n">
        <v>266</v>
      </c>
      <c r="E30" s="18" t="n">
        <v>82.04260463</v>
      </c>
      <c r="F30" s="20" t="n">
        <v>2.40339922</v>
      </c>
      <c r="G30" s="18" t="n">
        <v>10.94302045</v>
      </c>
      <c r="H30" s="20" t="n">
        <v>1.66503916</v>
      </c>
      <c r="I30" s="18" t="s">
        <v>349</v>
      </c>
      <c r="J30" s="20" t="s">
        <v>349</v>
      </c>
      <c r="K30" s="18" t="n">
        <v>7.01437493</v>
      </c>
      <c r="L30" s="20" t="n">
        <v>1.80937246</v>
      </c>
      <c r="M30" s="18" t="n">
        <v>0</v>
      </c>
      <c r="N30" s="20" t="n">
        <v>0</v>
      </c>
      <c r="O30" s="18" t="n">
        <v>0</v>
      </c>
      <c r="P30" s="20" t="n">
        <v>0</v>
      </c>
      <c r="Q30" s="18" t="n">
        <v>0</v>
      </c>
      <c r="R30" s="20" t="n">
        <v>0</v>
      </c>
    </row>
    <row r="31" spans="1:18">
      <c r="A31" s="15" t="s">
        <v>373</v>
      </c>
      <c r="B31" s="17" t="n">
        <v>2750</v>
      </c>
      <c r="C31" s="18">
        <f>(2424.0/B31*100)</f>
        <v/>
      </c>
      <c r="D31" s="19" t="n">
        <v>326</v>
      </c>
      <c r="E31" s="18" t="n">
        <v>74.98094693</v>
      </c>
      <c r="F31" s="20" t="n">
        <v>2.31588447</v>
      </c>
      <c r="G31" s="18" t="n">
        <v>16.80395901</v>
      </c>
      <c r="H31" s="20" t="n">
        <v>2.2821246</v>
      </c>
      <c r="I31" s="18" t="s">
        <v>349</v>
      </c>
      <c r="J31" s="20" t="s">
        <v>349</v>
      </c>
      <c r="K31" s="18" t="n">
        <v>8.215094069999999</v>
      </c>
      <c r="L31" s="20" t="n">
        <v>1.53609383</v>
      </c>
      <c r="M31" s="18" t="n">
        <v>0</v>
      </c>
      <c r="N31" s="20" t="n">
        <v>0</v>
      </c>
      <c r="O31" s="18" t="n">
        <v>0</v>
      </c>
      <c r="P31" s="20" t="n">
        <v>0</v>
      </c>
      <c r="Q31" s="18" t="n">
        <v>0</v>
      </c>
      <c r="R31" s="20" t="n">
        <v>0</v>
      </c>
    </row>
    <row r="32" spans="1:18">
      <c r="A32" s="15" t="s">
        <v>374</v>
      </c>
      <c r="B32" s="17" t="n">
        <v>2269</v>
      </c>
      <c r="C32" s="18">
        <f>(1855.0/B32*100)</f>
        <v/>
      </c>
      <c r="D32" s="19" t="n">
        <v>414</v>
      </c>
      <c r="E32" s="18" t="n">
        <v>75.95928635</v>
      </c>
      <c r="F32" s="20" t="n">
        <v>2.1039751</v>
      </c>
      <c r="G32" s="18" t="n">
        <v>16.53487558</v>
      </c>
      <c r="H32" s="20" t="n">
        <v>1.9007789</v>
      </c>
      <c r="I32" s="18" t="s">
        <v>349</v>
      </c>
      <c r="J32" s="20" t="s">
        <v>349</v>
      </c>
      <c r="K32" s="18" t="n">
        <v>7.50583807</v>
      </c>
      <c r="L32" s="20" t="n">
        <v>1.4008723</v>
      </c>
      <c r="M32" s="18" t="n">
        <v>0</v>
      </c>
      <c r="N32" s="20" t="n">
        <v>0</v>
      </c>
      <c r="O32" s="18" t="n">
        <v>0</v>
      </c>
      <c r="P32" s="20" t="n">
        <v>0</v>
      </c>
      <c r="Q32" s="18" t="n">
        <v>0</v>
      </c>
      <c r="R32" s="20" t="n">
        <v>0</v>
      </c>
    </row>
    <row r="33" spans="1:18">
      <c r="A33" s="15" t="s">
        <v>375</v>
      </c>
      <c r="B33" s="17" t="n">
        <v>3674</v>
      </c>
      <c r="C33" s="18">
        <f>(3255.0/B33*100)</f>
        <v/>
      </c>
      <c r="D33" s="19" t="n">
        <v>419</v>
      </c>
      <c r="E33" s="18" t="n">
        <v>72.20858329000001</v>
      </c>
      <c r="F33" s="20" t="n">
        <v>2.61160797</v>
      </c>
      <c r="G33" s="18" t="n">
        <v>17.35529157</v>
      </c>
      <c r="H33" s="20" t="n">
        <v>1.88813739</v>
      </c>
      <c r="I33" s="18" t="s">
        <v>349</v>
      </c>
      <c r="J33" s="20" t="s">
        <v>349</v>
      </c>
      <c r="K33" s="18" t="n">
        <v>10.43612515</v>
      </c>
      <c r="L33" s="20" t="n">
        <v>2.08089408</v>
      </c>
      <c r="M33" s="18" t="n">
        <v>0</v>
      </c>
      <c r="N33" s="20" t="n">
        <v>0</v>
      </c>
      <c r="O33" s="18" t="n">
        <v>0</v>
      </c>
      <c r="P33" s="20" t="n">
        <v>0</v>
      </c>
      <c r="Q33" s="18" t="n">
        <v>0</v>
      </c>
      <c r="R33" s="20" t="n">
        <v>0</v>
      </c>
    </row>
    <row r="34" spans="1:18">
      <c r="A34" s="15" t="s">
        <v>376</v>
      </c>
      <c r="B34" s="17" t="n">
        <v>3315</v>
      </c>
      <c r="C34" s="18">
        <f>(2918.0/B34*100)</f>
        <v/>
      </c>
      <c r="D34" s="19" t="n">
        <v>397</v>
      </c>
      <c r="E34" s="18" t="n">
        <v>78.32322504</v>
      </c>
      <c r="F34" s="20" t="n">
        <v>2.46148122</v>
      </c>
      <c r="G34" s="18" t="n">
        <v>16.64847909</v>
      </c>
      <c r="H34" s="20" t="n">
        <v>2.23461579</v>
      </c>
      <c r="I34" s="18" t="s">
        <v>349</v>
      </c>
      <c r="J34" s="20" t="s">
        <v>349</v>
      </c>
      <c r="K34" s="18" t="n">
        <v>5.02829586</v>
      </c>
      <c r="L34" s="20" t="n">
        <v>1.02740998</v>
      </c>
      <c r="M34" s="18" t="n">
        <v>0</v>
      </c>
      <c r="N34" s="20" t="n">
        <v>0</v>
      </c>
      <c r="O34" s="18" t="n">
        <v>0</v>
      </c>
      <c r="P34" s="20" t="n">
        <v>0</v>
      </c>
      <c r="Q34" s="18" t="n">
        <v>0</v>
      </c>
      <c r="R34" s="20" t="n">
        <v>0</v>
      </c>
    </row>
    <row r="35" spans="1:18">
      <c r="A35" s="15" t="s">
        <v>377</v>
      </c>
      <c r="B35" s="17" t="n">
        <v>3505</v>
      </c>
      <c r="C35" s="18">
        <f>(3094.0/B35*100)</f>
        <v/>
      </c>
      <c r="D35" s="19" t="n">
        <v>411</v>
      </c>
      <c r="E35" s="18" t="n">
        <v>74.54616482</v>
      </c>
      <c r="F35" s="20" t="n">
        <v>2.58016464</v>
      </c>
      <c r="G35" s="18" t="n">
        <v>17.5923435</v>
      </c>
      <c r="H35" s="20" t="n">
        <v>2.28045642</v>
      </c>
      <c r="I35" s="18" t="s">
        <v>349</v>
      </c>
      <c r="J35" s="20" t="s">
        <v>349</v>
      </c>
      <c r="K35" s="18" t="n">
        <v>7.42606535</v>
      </c>
      <c r="L35" s="20" t="n">
        <v>1.31137193</v>
      </c>
      <c r="M35" s="18" t="n">
        <v>0.43542633</v>
      </c>
      <c r="N35" s="20" t="n">
        <v>0.43844168</v>
      </c>
      <c r="O35" s="18" t="n">
        <v>0</v>
      </c>
      <c r="P35" s="20" t="n">
        <v>0</v>
      </c>
      <c r="Q35" s="18" t="n">
        <v>0</v>
      </c>
      <c r="R35" s="20" t="n">
        <v>0</v>
      </c>
    </row>
    <row r="36" spans="1:18">
      <c r="A36" s="15" t="s">
        <v>378</v>
      </c>
      <c r="B36" s="17" t="n">
        <v>3332</v>
      </c>
      <c r="C36" s="18">
        <f>(2933.0/B36*100)</f>
        <v/>
      </c>
      <c r="D36" s="19" t="n">
        <v>399</v>
      </c>
      <c r="E36" s="18" t="n">
        <v>75.05796540999999</v>
      </c>
      <c r="F36" s="20" t="n">
        <v>2.33321361</v>
      </c>
      <c r="G36" s="18" t="n">
        <v>14.84342807</v>
      </c>
      <c r="H36" s="20" t="n">
        <v>1.96176371</v>
      </c>
      <c r="I36" s="18" t="s">
        <v>349</v>
      </c>
      <c r="J36" s="20" t="s">
        <v>349</v>
      </c>
      <c r="K36" s="18" t="n">
        <v>10.09860651</v>
      </c>
      <c r="L36" s="20" t="n">
        <v>1.67427612</v>
      </c>
      <c r="M36" s="18" t="n">
        <v>0</v>
      </c>
      <c r="N36" s="20" t="n">
        <v>0</v>
      </c>
      <c r="O36" s="18" t="n">
        <v>0</v>
      </c>
      <c r="P36" s="20" t="n">
        <v>0</v>
      </c>
      <c r="Q36" s="18" t="n">
        <v>0</v>
      </c>
      <c r="R36" s="20" t="n">
        <v>0</v>
      </c>
    </row>
    <row r="37" spans="1:18">
      <c r="A37" s="15" t="s">
        <v>379</v>
      </c>
      <c r="B37" s="17" t="n">
        <v>2727</v>
      </c>
      <c r="C37" s="18">
        <f>(2409.0/B37*100)</f>
        <v/>
      </c>
      <c r="D37" s="19" t="n">
        <v>318</v>
      </c>
      <c r="E37" s="18" t="n">
        <v>69.60222376</v>
      </c>
      <c r="F37" s="20" t="n">
        <v>2.73265411</v>
      </c>
      <c r="G37" s="18" t="n">
        <v>19.1774081</v>
      </c>
      <c r="H37" s="20" t="n">
        <v>2.38008212</v>
      </c>
      <c r="I37" s="18" t="s">
        <v>349</v>
      </c>
      <c r="J37" s="20" t="s">
        <v>349</v>
      </c>
      <c r="K37" s="18" t="n">
        <v>11.22036814</v>
      </c>
      <c r="L37" s="20" t="n">
        <v>1.94089914</v>
      </c>
      <c r="M37" s="18" t="n">
        <v>0</v>
      </c>
      <c r="N37" s="20" t="n">
        <v>0</v>
      </c>
      <c r="O37" s="18" t="n">
        <v>0</v>
      </c>
      <c r="P37" s="20" t="n">
        <v>0</v>
      </c>
      <c r="Q37" s="18" t="n">
        <v>0</v>
      </c>
      <c r="R37" s="20" t="n">
        <v>0</v>
      </c>
    </row>
    <row r="38" spans="1:18">
      <c r="A38" s="15" t="s">
        <v>380</v>
      </c>
      <c r="B38" s="17" t="n">
        <v>3053</v>
      </c>
      <c r="C38" s="18">
        <f>(2529.0/B38*100)</f>
        <v/>
      </c>
      <c r="D38" s="19" t="n">
        <v>524</v>
      </c>
      <c r="E38" s="18" t="n">
        <v>70.25804887</v>
      </c>
      <c r="F38" s="20" t="n">
        <v>2.41997139</v>
      </c>
      <c r="G38" s="18" t="n">
        <v>24.82009195</v>
      </c>
      <c r="H38" s="20" t="n">
        <v>2.06028325</v>
      </c>
      <c r="I38" s="18" t="s">
        <v>349</v>
      </c>
      <c r="J38" s="20" t="s">
        <v>349</v>
      </c>
      <c r="K38" s="18" t="n">
        <v>4.92185918</v>
      </c>
      <c r="L38" s="20" t="n">
        <v>1.25767348</v>
      </c>
      <c r="M38" s="18" t="n">
        <v>0</v>
      </c>
      <c r="N38" s="20" t="n">
        <v>0</v>
      </c>
      <c r="O38" s="18" t="n">
        <v>0</v>
      </c>
      <c r="P38" s="20" t="n">
        <v>0</v>
      </c>
      <c r="Q38" s="18" t="n">
        <v>0</v>
      </c>
      <c r="R38" s="20" t="n">
        <v>0</v>
      </c>
    </row>
    <row r="39" spans="1:18">
      <c r="A39" s="15" t="s">
        <v>381</v>
      </c>
      <c r="B39" s="17" t="n">
        <v>2957</v>
      </c>
      <c r="C39" s="18">
        <f>(2614.0/B39*100)</f>
        <v/>
      </c>
      <c r="D39" s="19" t="n">
        <v>343</v>
      </c>
      <c r="E39" s="18" t="n">
        <v>89.93189817</v>
      </c>
      <c r="F39" s="20" t="n">
        <v>1.90316617</v>
      </c>
      <c r="G39" s="18" t="n">
        <v>4.01895192</v>
      </c>
      <c r="H39" s="20" t="n">
        <v>1.32050183</v>
      </c>
      <c r="I39" s="18" t="s">
        <v>349</v>
      </c>
      <c r="J39" s="20" t="s">
        <v>349</v>
      </c>
      <c r="K39" s="18" t="n">
        <v>6.04914991</v>
      </c>
      <c r="L39" s="20" t="n">
        <v>1.33890957</v>
      </c>
      <c r="M39" s="18" t="n">
        <v>0</v>
      </c>
      <c r="N39" s="20" t="n">
        <v>0</v>
      </c>
      <c r="O39" s="18" t="n">
        <v>0</v>
      </c>
      <c r="P39" s="20" t="n">
        <v>0</v>
      </c>
      <c r="Q39" s="18" t="n">
        <v>0</v>
      </c>
      <c r="R39" s="20" t="n">
        <v>0</v>
      </c>
    </row>
    <row r="40" spans="1:18">
      <c r="A40" s="15" t="s">
        <v>382</v>
      </c>
      <c r="B40" s="17" t="n">
        <v>7235</v>
      </c>
      <c r="C40" s="18">
        <f>(6353.0/B40*100)</f>
        <v/>
      </c>
      <c r="D40" s="19" t="n">
        <v>882</v>
      </c>
      <c r="E40" s="18" t="n">
        <v>83.85746987</v>
      </c>
      <c r="F40" s="20" t="n">
        <v>1.93335831</v>
      </c>
      <c r="G40" s="18" t="n">
        <v>11.62616861</v>
      </c>
      <c r="H40" s="20" t="n">
        <v>1.74133829</v>
      </c>
      <c r="I40" s="18" t="s">
        <v>349</v>
      </c>
      <c r="J40" s="20" t="s">
        <v>349</v>
      </c>
      <c r="K40" s="18" t="n">
        <v>4.34175966</v>
      </c>
      <c r="L40" s="20" t="n">
        <v>0.86958117</v>
      </c>
      <c r="M40" s="18" t="n">
        <v>0.17460187</v>
      </c>
      <c r="N40" s="20" t="n">
        <v>0.16638918</v>
      </c>
      <c r="O40" s="18" t="n">
        <v>0</v>
      </c>
      <c r="P40" s="20" t="n">
        <v>0</v>
      </c>
      <c r="Q40" s="18" t="n">
        <v>0</v>
      </c>
      <c r="R40" s="20" t="n">
        <v>0</v>
      </c>
    </row>
    <row r="41" spans="1:18">
      <c r="A41" s="15" t="s">
        <v>383</v>
      </c>
      <c r="B41" s="17" t="n">
        <v>2858</v>
      </c>
      <c r="C41" s="18">
        <f>(2518.0/B41*100)</f>
        <v/>
      </c>
      <c r="D41" s="19" t="n">
        <v>340</v>
      </c>
      <c r="E41" s="18" t="n">
        <v>86.98393781999999</v>
      </c>
      <c r="F41" s="20" t="n">
        <v>1.89145121</v>
      </c>
      <c r="G41" s="18" t="n">
        <v>8.07014006</v>
      </c>
      <c r="H41" s="20" t="n">
        <v>1.6221952</v>
      </c>
      <c r="I41" s="18" t="s">
        <v>349</v>
      </c>
      <c r="J41" s="20" t="s">
        <v>349</v>
      </c>
      <c r="K41" s="18" t="n">
        <v>4.94592213</v>
      </c>
      <c r="L41" s="20" t="n">
        <v>1.31395775</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(9957.0/B46*100)</f>
        <v/>
      </c>
      <c r="D46" s="19" t="n">
        <v>1111</v>
      </c>
      <c r="E46" s="18" t="n">
        <v>79.59103698</v>
      </c>
      <c r="F46" s="20" t="n">
        <v>1.71245182</v>
      </c>
      <c r="G46" s="18" t="n">
        <v>5.94459581</v>
      </c>
      <c r="H46" s="20" t="n">
        <v>1.13095103</v>
      </c>
      <c r="I46" s="18" t="s">
        <v>349</v>
      </c>
      <c r="J46" s="20" t="s">
        <v>349</v>
      </c>
      <c r="K46" s="18" t="n">
        <v>14.26576688</v>
      </c>
      <c r="L46" s="20" t="n">
        <v>1.49568858</v>
      </c>
      <c r="M46" s="18" t="n">
        <v>0.19860033</v>
      </c>
      <c r="N46" s="20" t="n">
        <v>0.16782413</v>
      </c>
      <c r="O46" s="18" t="n">
        <v>0</v>
      </c>
      <c r="P46" s="20" t="n">
        <v>0</v>
      </c>
      <c r="Q46" s="18" t="n">
        <v>0</v>
      </c>
      <c r="R46" s="20" t="n">
        <v>0</v>
      </c>
    </row>
    <row r="47" spans="1:18">
      <c r="A47" s="15" t="s">
        <v>389</v>
      </c>
      <c r="B47" s="17" t="n">
        <v>3105</v>
      </c>
      <c r="C47" s="18">
        <f>(2723.0/B47*100)</f>
        <v/>
      </c>
      <c r="D47" s="19" t="n">
        <v>382</v>
      </c>
      <c r="E47" s="18" t="n">
        <v>84.12434229</v>
      </c>
      <c r="F47" s="20" t="n">
        <v>1.89373222</v>
      </c>
      <c r="G47" s="18" t="n">
        <v>8.4342147</v>
      </c>
      <c r="H47" s="20" t="n">
        <v>1.37144159</v>
      </c>
      <c r="I47" s="18" t="s">
        <v>349</v>
      </c>
      <c r="J47" s="20" t="s">
        <v>349</v>
      </c>
      <c r="K47" s="18" t="n">
        <v>7.44144301</v>
      </c>
      <c r="L47" s="20" t="n">
        <v>1.36188226</v>
      </c>
      <c r="M47" s="18" t="n">
        <v>0</v>
      </c>
      <c r="N47" s="20" t="n">
        <v>0</v>
      </c>
      <c r="O47" s="18" t="n">
        <v>0</v>
      </c>
      <c r="P47" s="20" t="n">
        <v>0</v>
      </c>
      <c r="Q47" s="18" t="n">
        <v>0</v>
      </c>
      <c r="R47" s="20" t="n">
        <v>0</v>
      </c>
    </row>
    <row r="48" spans="1:18">
      <c r="A48" s="15" t="s">
        <v>390</v>
      </c>
      <c r="B48" s="17" t="n">
        <v>5159</v>
      </c>
      <c r="C48" s="18">
        <f>(4549.0/B48*100)</f>
        <v/>
      </c>
      <c r="D48" s="19" t="n">
        <v>610</v>
      </c>
      <c r="E48" s="18" t="n">
        <v>62.47576586</v>
      </c>
      <c r="F48" s="20" t="n">
        <v>2.72880744</v>
      </c>
      <c r="G48" s="18" t="n">
        <v>35.5964791</v>
      </c>
      <c r="H48" s="20" t="n">
        <v>2.85143374</v>
      </c>
      <c r="I48" s="18" t="s">
        <v>349</v>
      </c>
      <c r="J48" s="20" t="s">
        <v>349</v>
      </c>
      <c r="K48" s="18" t="n">
        <v>1.70289287</v>
      </c>
      <c r="L48" s="20" t="n">
        <v>0.83501333</v>
      </c>
      <c r="M48" s="18" t="n">
        <v>0.22486216</v>
      </c>
      <c r="N48" s="20" t="n">
        <v>0.15738493</v>
      </c>
      <c r="O48" s="18" t="n">
        <v>0</v>
      </c>
      <c r="P48" s="20" t="n">
        <v>0</v>
      </c>
      <c r="Q48" s="18" t="n">
        <v>0</v>
      </c>
      <c r="R48" s="20" t="n">
        <v>0</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(4968.0/B50*100)</f>
        <v/>
      </c>
      <c r="D50" s="19" t="n">
        <v>669</v>
      </c>
      <c r="E50" s="18" t="n">
        <v>90.11649147</v>
      </c>
      <c r="F50" s="20" t="n">
        <v>1.57575005</v>
      </c>
      <c r="G50" s="18" t="n">
        <v>3.92187858</v>
      </c>
      <c r="H50" s="20" t="n">
        <v>0.91647952</v>
      </c>
      <c r="I50" s="18" t="s">
        <v>349</v>
      </c>
      <c r="J50" s="20" t="s">
        <v>349</v>
      </c>
      <c r="K50" s="18" t="n">
        <v>5.60840458</v>
      </c>
      <c r="L50" s="20" t="n">
        <v>1.39895357</v>
      </c>
      <c r="M50" s="18" t="n">
        <v>0.35322537</v>
      </c>
      <c r="N50" s="20" t="n">
        <v>0.25103736</v>
      </c>
      <c r="O50" s="18" t="n">
        <v>0</v>
      </c>
      <c r="P50" s="20" t="n">
        <v>0</v>
      </c>
      <c r="Q50" s="18" t="n">
        <v>0</v>
      </c>
      <c r="R50" s="20" t="n">
        <v>0</v>
      </c>
    </row>
    <row r="51" spans="1:18">
      <c r="A51" s="15" t="s">
        <v>393</v>
      </c>
      <c r="B51" s="17" t="n">
        <v>3372</v>
      </c>
      <c r="C51" s="18">
        <f>(3008.0/B51*100)</f>
        <v/>
      </c>
      <c r="D51" s="19" t="n">
        <v>364</v>
      </c>
      <c r="E51" s="18" t="n">
        <v>90.45544553000001</v>
      </c>
      <c r="F51" s="20" t="n">
        <v>1.95081731</v>
      </c>
      <c r="G51" s="18" t="n">
        <v>4.13256378</v>
      </c>
      <c r="H51" s="20" t="n">
        <v>1.1924689</v>
      </c>
      <c r="I51" s="18" t="s">
        <v>349</v>
      </c>
      <c r="J51" s="20" t="s">
        <v>349</v>
      </c>
      <c r="K51" s="18" t="n">
        <v>5.41199069</v>
      </c>
      <c r="L51" s="20" t="n">
        <v>1.55907775</v>
      </c>
      <c r="M51" s="18" t="n">
        <v>0</v>
      </c>
      <c r="N51" s="20" t="n">
        <v>0</v>
      </c>
      <c r="O51" s="18" t="n">
        <v>0</v>
      </c>
      <c r="P51" s="20" t="n">
        <v>0</v>
      </c>
      <c r="Q51" s="18" t="n">
        <v>0</v>
      </c>
      <c r="R51" s="20" t="n">
        <v>0</v>
      </c>
    </row>
    <row r="52" spans="1:18">
      <c r="A52" s="15" t="s">
        <v>394</v>
      </c>
      <c r="B52" s="17" t="n">
        <v>2796</v>
      </c>
      <c r="C52" s="18">
        <f>(2470.0/B52*100)</f>
        <v/>
      </c>
      <c r="D52" s="19" t="n">
        <v>326</v>
      </c>
      <c r="E52" s="18" t="n">
        <v>84.39700779</v>
      </c>
      <c r="F52" s="20" t="n">
        <v>1.90032923</v>
      </c>
      <c r="G52" s="18" t="n">
        <v>9.002616829999999</v>
      </c>
      <c r="H52" s="20" t="n">
        <v>1.55605783</v>
      </c>
      <c r="I52" s="18" t="s">
        <v>349</v>
      </c>
      <c r="J52" s="20" t="s">
        <v>349</v>
      </c>
      <c r="K52" s="18" t="n">
        <v>6.60037538</v>
      </c>
      <c r="L52" s="20" t="n">
        <v>1.36948425</v>
      </c>
      <c r="M52" s="18" t="n">
        <v>0</v>
      </c>
      <c r="N52" s="20" t="n">
        <v>0</v>
      </c>
      <c r="O52" s="18" t="n">
        <v>0</v>
      </c>
      <c r="P52" s="20" t="n">
        <v>0</v>
      </c>
      <c r="Q52" s="18" t="n">
        <v>0</v>
      </c>
      <c r="R52" s="20" t="n">
        <v>0</v>
      </c>
    </row>
    <row r="53" spans="1:18">
      <c r="A53" s="15" t="s">
        <v>395</v>
      </c>
      <c r="B53" s="17" t="n">
        <v>2811</v>
      </c>
      <c r="C53" s="18">
        <f>(2472.0/B53*100)</f>
        <v/>
      </c>
      <c r="D53" s="19" t="n">
        <v>339</v>
      </c>
      <c r="E53" s="18" t="n">
        <v>85.56273759</v>
      </c>
      <c r="F53" s="20" t="n">
        <v>1.8466254</v>
      </c>
      <c r="G53" s="18" t="n">
        <v>7.88968254</v>
      </c>
      <c r="H53" s="20" t="n">
        <v>1.53119963</v>
      </c>
      <c r="I53" s="18" t="s">
        <v>349</v>
      </c>
      <c r="J53" s="20" t="s">
        <v>349</v>
      </c>
      <c r="K53" s="18" t="n">
        <v>6.54757987</v>
      </c>
      <c r="L53" s="20" t="n">
        <v>1.21747397</v>
      </c>
      <c r="M53" s="18" t="n">
        <v>0</v>
      </c>
      <c r="N53" s="20" t="n">
        <v>0</v>
      </c>
      <c r="O53" s="18" t="n">
        <v>0</v>
      </c>
      <c r="P53" s="20" t="n">
        <v>0</v>
      </c>
      <c r="Q53" s="18" t="n">
        <v>0</v>
      </c>
      <c r="R53" s="20" t="n">
        <v>0</v>
      </c>
    </row>
    <row r="54" spans="1:18">
      <c r="A54" s="15" t="s">
        <v>396</v>
      </c>
      <c r="B54" s="17" t="n">
        <v>2266</v>
      </c>
      <c r="C54" s="18">
        <f>(1893.0/B54*100)</f>
        <v/>
      </c>
      <c r="D54" s="19" t="n">
        <v>373</v>
      </c>
      <c r="E54" s="18" t="n">
        <v>71.23227744</v>
      </c>
      <c r="F54" s="20" t="n">
        <v>2.92537263</v>
      </c>
      <c r="G54" s="18" t="n">
        <v>1.98969626</v>
      </c>
      <c r="H54" s="20" t="n">
        <v>0.84003438</v>
      </c>
      <c r="I54" s="18" t="s">
        <v>349</v>
      </c>
      <c r="J54" s="20" t="s">
        <v>349</v>
      </c>
      <c r="K54" s="18" t="n">
        <v>26.28131133</v>
      </c>
      <c r="L54" s="20" t="n">
        <v>2.72156799</v>
      </c>
      <c r="M54" s="18" t="n">
        <v>0.49671497</v>
      </c>
      <c r="N54" s="20" t="n">
        <v>0.49700677</v>
      </c>
      <c r="O54" s="18" t="n">
        <v>0</v>
      </c>
      <c r="P54" s="20" t="n">
        <v>0</v>
      </c>
      <c r="Q54" s="18" t="n">
        <v>0</v>
      </c>
      <c r="R54" s="20" t="n">
        <v>0</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(2352.0/B56*100)</f>
        <v/>
      </c>
      <c r="D56" s="19" t="n">
        <v>332</v>
      </c>
      <c r="E56" s="18" t="n">
        <v>67.04474571999999</v>
      </c>
      <c r="F56" s="20" t="n">
        <v>2.95073985</v>
      </c>
      <c r="G56" s="18" t="n">
        <v>29.69159687</v>
      </c>
      <c r="H56" s="20" t="n">
        <v>2.94367184</v>
      </c>
      <c r="I56" s="18" t="s">
        <v>349</v>
      </c>
      <c r="J56" s="20" t="s">
        <v>349</v>
      </c>
      <c r="K56" s="18" t="n">
        <v>3.26365741</v>
      </c>
      <c r="L56" s="20" t="n">
        <v>1.19706418</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(2928.0/B61*100)</f>
        <v/>
      </c>
      <c r="D61" s="19" t="n">
        <v>396</v>
      </c>
      <c r="E61" s="18" t="n">
        <v>79.4076884</v>
      </c>
      <c r="F61" s="20" t="n">
        <v>2.56681958</v>
      </c>
      <c r="G61" s="18" t="n">
        <v>14.65315577</v>
      </c>
      <c r="H61" s="20" t="n">
        <v>2.26880963</v>
      </c>
      <c r="I61" s="18" t="s">
        <v>349</v>
      </c>
      <c r="J61" s="20" t="s">
        <v>349</v>
      </c>
      <c r="K61" s="18" t="n">
        <v>5.93915583</v>
      </c>
      <c r="L61" s="20" t="n">
        <v>1.32742581</v>
      </c>
      <c r="M61" s="18" t="n">
        <v>0</v>
      </c>
      <c r="N61" s="20" t="n">
        <v>0</v>
      </c>
      <c r="O61" s="18" t="n">
        <v>0</v>
      </c>
      <c r="P61" s="20" t="n">
        <v>0</v>
      </c>
      <c r="Q61" s="18" t="n">
        <v>0</v>
      </c>
      <c r="R61" s="20" t="n">
        <v>0</v>
      </c>
    </row>
    <row r="62" spans="1:18">
      <c r="A62" s="15" t="s">
        <v>404</v>
      </c>
      <c r="B62" s="17" t="n">
        <v>2246</v>
      </c>
      <c r="C62" s="18">
        <f>(1962.0/B62*100)</f>
        <v/>
      </c>
      <c r="D62" s="19" t="n">
        <v>284</v>
      </c>
      <c r="E62" s="18" t="n">
        <v>72.83517267000001</v>
      </c>
      <c r="F62" s="20" t="n">
        <v>2.75404699</v>
      </c>
      <c r="G62" s="18" t="n">
        <v>25.74983463</v>
      </c>
      <c r="H62" s="20" t="n">
        <v>2.70864802</v>
      </c>
      <c r="I62" s="18" t="s">
        <v>349</v>
      </c>
      <c r="J62" s="20" t="s">
        <v>349</v>
      </c>
      <c r="K62" s="18" t="n">
        <v>1.0614177</v>
      </c>
      <c r="L62" s="20" t="n">
        <v>0.60669205</v>
      </c>
      <c r="M62" s="18" t="n">
        <v>0.353575</v>
      </c>
      <c r="N62" s="20" t="n">
        <v>0.35365557</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(2546.0/B66*100)</f>
        <v/>
      </c>
      <c r="D66" s="19" t="n">
        <v>348</v>
      </c>
      <c r="E66" s="18" t="n">
        <v>77.68037203999999</v>
      </c>
      <c r="F66" s="20" t="n">
        <v>2.36880001</v>
      </c>
      <c r="G66" s="18" t="n">
        <v>4.65976589</v>
      </c>
      <c r="H66" s="20" t="n">
        <v>1.1663255</v>
      </c>
      <c r="I66" s="18" t="s">
        <v>349</v>
      </c>
      <c r="J66" s="20" t="s">
        <v>349</v>
      </c>
      <c r="K66" s="18" t="n">
        <v>17.391328</v>
      </c>
      <c r="L66" s="20" t="n">
        <v>2.11938068</v>
      </c>
      <c r="M66" s="18" t="n">
        <v>0.26853406</v>
      </c>
      <c r="N66" s="20" t="n">
        <v>0.26927034</v>
      </c>
      <c r="O66" s="18" t="n">
        <v>0</v>
      </c>
      <c r="P66" s="20" t="n">
        <v>0</v>
      </c>
      <c r="Q66" s="18" t="n">
        <v>0</v>
      </c>
      <c r="R66" s="20" t="n">
        <v>0</v>
      </c>
    </row>
    <row r="67" spans="1:18">
      <c r="A67" s="15" t="s">
        <v>409</v>
      </c>
      <c r="B67" s="17" t="n">
        <v>3511</v>
      </c>
      <c r="C67" s="18">
        <f>(3164.0/B67*100)</f>
        <v/>
      </c>
      <c r="D67" s="19" t="n">
        <v>347</v>
      </c>
      <c r="E67" s="18" t="n">
        <v>88.85967936999999</v>
      </c>
      <c r="F67" s="20" t="n">
        <v>1.65921816</v>
      </c>
      <c r="G67" s="18" t="n">
        <v>2.42993367</v>
      </c>
      <c r="H67" s="20" t="n">
        <v>0.87918704</v>
      </c>
      <c r="I67" s="18" t="s">
        <v>349</v>
      </c>
      <c r="J67" s="20" t="s">
        <v>349</v>
      </c>
      <c r="K67" s="18" t="n">
        <v>8.710386959999999</v>
      </c>
      <c r="L67" s="20" t="n">
        <v>1.5183603</v>
      </c>
      <c r="M67" s="18" t="n">
        <v>0</v>
      </c>
      <c r="N67" s="20" t="n">
        <v>0</v>
      </c>
      <c r="O67" s="18" t="n">
        <v>0</v>
      </c>
      <c r="P67" s="20" t="n">
        <v>0</v>
      </c>
      <c r="Q67" s="18" t="n">
        <v>0</v>
      </c>
      <c r="R67" s="20" t="n">
        <v>0</v>
      </c>
    </row>
    <row r="68" spans="1:18">
      <c r="A68" s="15" t="s">
        <v>410</v>
      </c>
      <c r="B68" s="17" t="n">
        <v>6049</v>
      </c>
      <c r="C68" s="18">
        <f>(5036.0/B68*100)</f>
        <v/>
      </c>
      <c r="D68" s="19" t="n">
        <v>1013</v>
      </c>
      <c r="E68" s="18" t="n">
        <v>83.53606038</v>
      </c>
      <c r="F68" s="20" t="n">
        <v>1.09910289</v>
      </c>
      <c r="G68" s="18" t="n">
        <v>7.44448351</v>
      </c>
      <c r="H68" s="20" t="n">
        <v>0.7642284</v>
      </c>
      <c r="I68" s="18" t="s">
        <v>349</v>
      </c>
      <c r="J68" s="20" t="s">
        <v>349</v>
      </c>
      <c r="K68" s="18" t="n">
        <v>9.01945611</v>
      </c>
      <c r="L68" s="20" t="n">
        <v>0.87700799</v>
      </c>
      <c r="M68" s="18" t="n">
        <v>0</v>
      </c>
      <c r="N68" s="20" t="n">
        <v>0</v>
      </c>
      <c r="O68" s="18" t="n">
        <v>0</v>
      </c>
      <c r="P68" s="20" t="n">
        <v>0</v>
      </c>
      <c r="Q68" s="18" t="n">
        <v>0</v>
      </c>
      <c r="R68" s="20" t="n">
        <v>0</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(2583.0/B70*100)</f>
        <v/>
      </c>
      <c r="D70" s="19" t="n">
        <v>346</v>
      </c>
      <c r="E70" s="18" t="n">
        <v>85.2888274</v>
      </c>
      <c r="F70" s="20" t="n">
        <v>2.81381189</v>
      </c>
      <c r="G70" s="18" t="n">
        <v>9.207077030000001</v>
      </c>
      <c r="H70" s="20" t="n">
        <v>1.4276554</v>
      </c>
      <c r="I70" s="18" t="s">
        <v>349</v>
      </c>
      <c r="J70" s="20" t="s">
        <v>349</v>
      </c>
      <c r="K70" s="18" t="n">
        <v>4.34387145</v>
      </c>
      <c r="L70" s="20" t="n">
        <v>1.64801293</v>
      </c>
      <c r="M70" s="18" t="n">
        <v>1.16022413</v>
      </c>
      <c r="N70" s="20" t="n">
        <v>0.50222481</v>
      </c>
      <c r="O70" s="18" t="n">
        <v>0</v>
      </c>
      <c r="P70" s="20" t="n">
        <v>0</v>
      </c>
      <c r="Q70" s="18" t="n">
        <v>0</v>
      </c>
      <c r="R70" s="20" t="n">
        <v>0</v>
      </c>
    </row>
    <row r="71" spans="1:18">
      <c r="A71" s="15" t="s">
        <v>413</v>
      </c>
      <c r="B71" s="17" t="n">
        <v>3142</v>
      </c>
      <c r="C71" s="18">
        <f>(2757.0/B71*100)</f>
        <v/>
      </c>
      <c r="D71" s="19" t="n">
        <v>385</v>
      </c>
      <c r="E71" s="18" t="n">
        <v>66.58499089</v>
      </c>
      <c r="F71" s="20" t="n">
        <v>2.83626193</v>
      </c>
      <c r="G71" s="18" t="n">
        <v>31.85729165</v>
      </c>
      <c r="H71" s="20" t="n">
        <v>3.08481916</v>
      </c>
      <c r="I71" s="18" t="s">
        <v>349</v>
      </c>
      <c r="J71" s="20" t="s">
        <v>349</v>
      </c>
      <c r="K71" s="18" t="n">
        <v>1.55771745</v>
      </c>
      <c r="L71" s="20" t="n">
        <v>0.72970735</v>
      </c>
      <c r="M71" s="18" t="n">
        <v>0</v>
      </c>
      <c r="N71" s="20" t="n">
        <v>0</v>
      </c>
      <c r="O71" s="18" t="n">
        <v>0</v>
      </c>
      <c r="P71" s="20" t="n">
        <v>0</v>
      </c>
      <c r="Q71" s="18" t="n">
        <v>0</v>
      </c>
      <c r="R71" s="20" t="n">
        <v>0</v>
      </c>
    </row>
    <row r="72" spans="1:18">
      <c r="A72" s="15" t="s">
        <v>414</v>
      </c>
      <c r="B72" s="17" t="n">
        <v>3889</v>
      </c>
      <c r="C72" s="18">
        <f>(3408.0/B72*100)</f>
        <v/>
      </c>
      <c r="D72" s="19" t="n">
        <v>481</v>
      </c>
      <c r="E72" s="18" t="n">
        <v>67.02443246999999</v>
      </c>
      <c r="F72" s="20" t="n">
        <v>2.56799012</v>
      </c>
      <c r="G72" s="18" t="n">
        <v>28.94145546</v>
      </c>
      <c r="H72" s="20" t="n">
        <v>2.57091724</v>
      </c>
      <c r="I72" s="18" t="s">
        <v>349</v>
      </c>
      <c r="J72" s="20" t="s">
        <v>349</v>
      </c>
      <c r="K72" s="18" t="n">
        <v>4.03411206</v>
      </c>
      <c r="L72" s="20" t="n">
        <v>1.04350583</v>
      </c>
      <c r="M72" s="18" t="n">
        <v>0</v>
      </c>
      <c r="N72" s="20" t="n">
        <v>0</v>
      </c>
      <c r="O72" s="18" t="n">
        <v>0</v>
      </c>
      <c r="P72" s="20" t="n">
        <v>0</v>
      </c>
      <c r="Q72" s="18" t="n">
        <v>0</v>
      </c>
      <c r="R72" s="20" t="n">
        <v>0</v>
      </c>
    </row>
    <row r="73" spans="1:18">
      <c r="A73" s="15" t="s">
        <v>415</v>
      </c>
      <c r="B73" s="17" t="n">
        <v>3597</v>
      </c>
      <c r="C73" s="18">
        <f>(3175.0/B73*100)</f>
        <v/>
      </c>
      <c r="D73" s="19" t="n">
        <v>422</v>
      </c>
      <c r="E73" s="18" t="n">
        <v>89.26753683</v>
      </c>
      <c r="F73" s="20" t="n">
        <v>2.15938631</v>
      </c>
      <c r="G73" s="18" t="n">
        <v>7.30172575</v>
      </c>
      <c r="H73" s="20" t="n">
        <v>1.56915445</v>
      </c>
      <c r="I73" s="18" t="s">
        <v>349</v>
      </c>
      <c r="J73" s="20" t="s">
        <v>349</v>
      </c>
      <c r="K73" s="18" t="n">
        <v>3.43073742</v>
      </c>
      <c r="L73" s="20" t="n">
        <v>1.2152647</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(2125.0/B75*100)</f>
        <v/>
      </c>
      <c r="D75" s="19" t="n">
        <v>281</v>
      </c>
      <c r="E75" s="18" t="n">
        <v>86.21663769</v>
      </c>
      <c r="F75" s="20" t="n">
        <v>1.99195509</v>
      </c>
      <c r="G75" s="18" t="n">
        <v>3.31096549</v>
      </c>
      <c r="H75" s="20" t="n">
        <v>0.88279603</v>
      </c>
      <c r="I75" s="18" t="s">
        <v>349</v>
      </c>
      <c r="J75" s="20" t="s">
        <v>349</v>
      </c>
      <c r="K75" s="18" t="n">
        <v>10.10394731</v>
      </c>
      <c r="L75" s="20" t="n">
        <v>1.83712962</v>
      </c>
      <c r="M75" s="18" t="n">
        <v>0.36844951</v>
      </c>
      <c r="N75" s="20" t="n">
        <v>0.40577387</v>
      </c>
      <c r="O75" s="18" t="n">
        <v>0</v>
      </c>
      <c r="P75" s="20" t="n">
        <v>0</v>
      </c>
      <c r="Q75" s="18" t="n">
        <v>0</v>
      </c>
      <c r="R75" s="20" t="n">
        <v>0</v>
      </c>
    </row>
    <row r="76" spans="1:18">
      <c r="A76" s="15" t="s">
        <v>418</v>
      </c>
      <c r="B76" s="17" t="n">
        <v>7052</v>
      </c>
      <c r="C76" s="18">
        <f>(6196.0/B76*100)</f>
        <v/>
      </c>
      <c r="D76" s="19" t="n">
        <v>856</v>
      </c>
      <c r="E76" s="18" t="n">
        <v>81.30617049</v>
      </c>
      <c r="F76" s="20" t="n">
        <v>1.59058884</v>
      </c>
      <c r="G76" s="18" t="n">
        <v>12.50760564</v>
      </c>
      <c r="H76" s="20" t="n">
        <v>1.31019776</v>
      </c>
      <c r="I76" s="18" t="s">
        <v>349</v>
      </c>
      <c r="J76" s="20" t="s">
        <v>349</v>
      </c>
      <c r="K76" s="18" t="n">
        <v>6.12486232</v>
      </c>
      <c r="L76" s="20" t="n">
        <v>1.0701153</v>
      </c>
      <c r="M76" s="18" t="n">
        <v>0.06136154</v>
      </c>
      <c r="N76" s="20" t="n">
        <v>0.06231901</v>
      </c>
      <c r="O76" s="18" t="n">
        <v>0</v>
      </c>
      <c r="P76" s="20" t="n">
        <v>0</v>
      </c>
      <c r="Q76" s="18" t="n">
        <v>0</v>
      </c>
      <c r="R76" s="20" t="n">
        <v>0</v>
      </c>
    </row>
    <row r="77" spans="1:18">
      <c r="A77" s="15" t="s">
        <v>419</v>
      </c>
      <c r="B77" s="17" t="n">
        <v>2908</v>
      </c>
      <c r="C77" s="18">
        <f>(2548.0/B77*100)</f>
        <v/>
      </c>
      <c r="D77" s="19" t="n">
        <v>360</v>
      </c>
      <c r="E77" s="18" t="n">
        <v>80.09357836</v>
      </c>
      <c r="F77" s="20" t="n">
        <v>2.24560512</v>
      </c>
      <c r="G77" s="18" t="n">
        <v>2.99677886</v>
      </c>
      <c r="H77" s="20" t="n">
        <v>0.88279386</v>
      </c>
      <c r="I77" s="18" t="s">
        <v>349</v>
      </c>
      <c r="J77" s="20" t="s">
        <v>349</v>
      </c>
      <c r="K77" s="18" t="n">
        <v>15.53743447</v>
      </c>
      <c r="L77" s="20" t="n">
        <v>2.35910102</v>
      </c>
      <c r="M77" s="18" t="n">
        <v>1.37220831</v>
      </c>
      <c r="N77" s="20" t="n">
        <v>0.61339078</v>
      </c>
      <c r="O77" s="18" t="n">
        <v>0</v>
      </c>
      <c r="P77" s="20" t="n">
        <v>0</v>
      </c>
      <c r="Q77" s="18" t="n">
        <v>0</v>
      </c>
      <c r="R77" s="20" t="n">
        <v>0</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(3655.0/B81*100)</f>
        <v/>
      </c>
      <c r="D81" s="19" t="n">
        <v>508</v>
      </c>
      <c r="E81" s="18" t="n">
        <v>83.76353554000001</v>
      </c>
      <c r="F81" s="20" t="n">
        <v>2.10043156</v>
      </c>
      <c r="G81" s="18" t="n">
        <v>13.97851671</v>
      </c>
      <c r="H81" s="20" t="n">
        <v>2.06702105</v>
      </c>
      <c r="I81" s="18" t="s">
        <v>349</v>
      </c>
      <c r="J81" s="20" t="s">
        <v>349</v>
      </c>
      <c r="K81" s="18" t="n">
        <v>2.25794775</v>
      </c>
      <c r="L81" s="20" t="n">
        <v>0.62312685</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(6421.0/B7*100)</f>
        <v/>
      </c>
      <c r="D7" s="19" t="n">
        <v>946</v>
      </c>
      <c r="E7" s="18" t="n">
        <v>8.360872240000001</v>
      </c>
      <c r="F7" s="20" t="n">
        <v>1.00495576</v>
      </c>
      <c r="G7" s="18" t="n">
        <v>88.42236645</v>
      </c>
      <c r="H7" s="20" t="n">
        <v>1.31700367</v>
      </c>
      <c r="I7" s="18" t="s">
        <v>349</v>
      </c>
      <c r="J7" s="20" t="s">
        <v>349</v>
      </c>
      <c r="K7" s="18" t="n">
        <v>0.1858147</v>
      </c>
      <c r="L7" s="20" t="n">
        <v>0.16587571</v>
      </c>
      <c r="M7" s="18" t="n">
        <v>0</v>
      </c>
      <c r="N7" s="20" t="n">
        <v>0</v>
      </c>
      <c r="O7" s="18" t="n">
        <v>0</v>
      </c>
      <c r="P7" s="20" t="n">
        <v>0</v>
      </c>
      <c r="Q7" s="18" t="n">
        <v>3.0309466</v>
      </c>
      <c r="R7" s="20" t="n">
        <v>0.6569367699999999</v>
      </c>
    </row>
    <row r="8" spans="1:18">
      <c r="A8" s="15" t="s">
        <v>350</v>
      </c>
      <c r="B8" s="17" t="n">
        <v>3564</v>
      </c>
      <c r="C8" s="18">
        <f>(3116.0/B8*100)</f>
        <v/>
      </c>
      <c r="D8" s="19" t="n">
        <v>448</v>
      </c>
      <c r="E8" s="18" t="n">
        <v>12.35679279</v>
      </c>
      <c r="F8" s="20" t="n">
        <v>1.88613493</v>
      </c>
      <c r="G8" s="18" t="n">
        <v>84.77673796000001</v>
      </c>
      <c r="H8" s="20" t="n">
        <v>2.19915382</v>
      </c>
      <c r="I8" s="18" t="s">
        <v>349</v>
      </c>
      <c r="J8" s="20" t="s">
        <v>349</v>
      </c>
      <c r="K8" s="18" t="n">
        <v>0</v>
      </c>
      <c r="L8" s="20" t="n">
        <v>0</v>
      </c>
      <c r="M8" s="18" t="n">
        <v>0</v>
      </c>
      <c r="N8" s="20" t="n">
        <v>0</v>
      </c>
      <c r="O8" s="18" t="n">
        <v>0</v>
      </c>
      <c r="P8" s="20" t="n">
        <v>0</v>
      </c>
      <c r="Q8" s="18" t="n">
        <v>2.86646925</v>
      </c>
      <c r="R8" s="20" t="n">
        <v>1.22540907</v>
      </c>
    </row>
    <row r="9" spans="1:18">
      <c r="A9" s="15" t="s">
        <v>351</v>
      </c>
      <c r="B9" s="17" t="n">
        <v>4899</v>
      </c>
      <c r="C9" s="18">
        <f>(4165.0/B9*100)</f>
        <v/>
      </c>
      <c r="D9" s="19" t="n">
        <v>734</v>
      </c>
      <c r="E9" s="18" t="n">
        <v>13.11537412</v>
      </c>
      <c r="F9" s="20" t="n">
        <v>1.91783456</v>
      </c>
      <c r="G9" s="18" t="n">
        <v>81.56959802</v>
      </c>
      <c r="H9" s="20" t="n">
        <v>1.98134451</v>
      </c>
      <c r="I9" s="18" t="s">
        <v>349</v>
      </c>
      <c r="J9" s="20" t="s">
        <v>349</v>
      </c>
      <c r="K9" s="18" t="n">
        <v>0.59365354</v>
      </c>
      <c r="L9" s="20" t="n">
        <v>0.26662903</v>
      </c>
      <c r="M9" s="18" t="n">
        <v>0</v>
      </c>
      <c r="N9" s="20" t="n">
        <v>0</v>
      </c>
      <c r="O9" s="18" t="n">
        <v>0</v>
      </c>
      <c r="P9" s="20" t="n">
        <v>0</v>
      </c>
      <c r="Q9" s="18" t="n">
        <v>4.72137432</v>
      </c>
      <c r="R9" s="20" t="n">
        <v>1.2418755</v>
      </c>
    </row>
    <row r="10" spans="1:18">
      <c r="A10" s="15" t="s">
        <v>352</v>
      </c>
      <c r="B10" s="17" t="n">
        <v>10036</v>
      </c>
      <c r="C10" s="18">
        <f>(8804.0/B10*100)</f>
        <v/>
      </c>
      <c r="D10" s="19" t="n">
        <v>1232</v>
      </c>
      <c r="E10" s="18" t="n">
        <v>9.48589479</v>
      </c>
      <c r="F10" s="20" t="n">
        <v>1.09539234</v>
      </c>
      <c r="G10" s="18" t="n">
        <v>89.27755002000001</v>
      </c>
      <c r="H10" s="20" t="n">
        <v>1.13123483</v>
      </c>
      <c r="I10" s="18" t="s">
        <v>349</v>
      </c>
      <c r="J10" s="20" t="s">
        <v>349</v>
      </c>
      <c r="K10" s="18" t="n">
        <v>0.23342067</v>
      </c>
      <c r="L10" s="20" t="n">
        <v>0.10539177</v>
      </c>
      <c r="M10" s="18" t="n">
        <v>0</v>
      </c>
      <c r="N10" s="20" t="n">
        <v>0</v>
      </c>
      <c r="O10" s="18" t="n">
        <v>0</v>
      </c>
      <c r="P10" s="20" t="n">
        <v>0</v>
      </c>
      <c r="Q10" s="18" t="n">
        <v>1.00313452</v>
      </c>
      <c r="R10" s="20" t="n">
        <v>0.40620035</v>
      </c>
    </row>
    <row r="11" spans="1:18">
      <c r="A11" s="15" t="s">
        <v>353</v>
      </c>
      <c r="B11" s="17" t="n">
        <v>3553</v>
      </c>
      <c r="C11" s="18">
        <f>(3131.0/B11*100)</f>
        <v/>
      </c>
      <c r="D11" s="19" t="n">
        <v>422</v>
      </c>
      <c r="E11" s="18" t="n">
        <v>17.49362831</v>
      </c>
      <c r="F11" s="20" t="n">
        <v>2.24022367</v>
      </c>
      <c r="G11" s="18" t="n">
        <v>77.54136440000001</v>
      </c>
      <c r="H11" s="20" t="n">
        <v>2.68203592</v>
      </c>
      <c r="I11" s="18" t="s">
        <v>349</v>
      </c>
      <c r="J11" s="20" t="s">
        <v>349</v>
      </c>
      <c r="K11" s="18" t="n">
        <v>0</v>
      </c>
      <c r="L11" s="20" t="n">
        <v>0</v>
      </c>
      <c r="M11" s="18" t="n">
        <v>0</v>
      </c>
      <c r="N11" s="20" t="n">
        <v>0</v>
      </c>
      <c r="O11" s="18" t="n">
        <v>0</v>
      </c>
      <c r="P11" s="20" t="n">
        <v>0</v>
      </c>
      <c r="Q11" s="18" t="n">
        <v>4.96500729</v>
      </c>
      <c r="R11" s="20" t="n">
        <v>1.31767683</v>
      </c>
    </row>
    <row r="12" spans="1:18">
      <c r="A12" s="15" t="s">
        <v>354</v>
      </c>
      <c r="B12" s="17" t="n">
        <v>3472</v>
      </c>
      <c r="C12" s="18">
        <f>(2996.0/B12*100)</f>
        <v/>
      </c>
      <c r="D12" s="19" t="n">
        <v>476</v>
      </c>
      <c r="E12" s="18" t="n">
        <v>18.70503673</v>
      </c>
      <c r="F12" s="20" t="n">
        <v>3.75620573</v>
      </c>
      <c r="G12" s="18" t="n">
        <v>78.62491288</v>
      </c>
      <c r="H12" s="20" t="n">
        <v>3.68722877</v>
      </c>
      <c r="I12" s="18" t="s">
        <v>349</v>
      </c>
      <c r="J12" s="20" t="s">
        <v>349</v>
      </c>
      <c r="K12" s="18" t="n">
        <v>0</v>
      </c>
      <c r="L12" s="20" t="n">
        <v>0</v>
      </c>
      <c r="M12" s="18" t="n">
        <v>0</v>
      </c>
      <c r="N12" s="20" t="n">
        <v>0</v>
      </c>
      <c r="O12" s="18" t="n">
        <v>0</v>
      </c>
      <c r="P12" s="20" t="n">
        <v>0</v>
      </c>
      <c r="Q12" s="18" t="n">
        <v>2.6700504</v>
      </c>
      <c r="R12" s="20" t="n">
        <v>1.0289655</v>
      </c>
    </row>
    <row r="13" spans="1:18">
      <c r="A13" s="15" t="s">
        <v>355</v>
      </c>
      <c r="B13" s="17" t="n">
        <v>3559</v>
      </c>
      <c r="C13" s="18">
        <f>(2959.0/B13*100)</f>
        <v/>
      </c>
      <c r="D13" s="19" t="n">
        <v>600</v>
      </c>
      <c r="E13" s="18" t="n">
        <v>6.94297217</v>
      </c>
      <c r="F13" s="20" t="n">
        <v>0.99390131</v>
      </c>
      <c r="G13" s="18" t="n">
        <v>91.60670914000001</v>
      </c>
      <c r="H13" s="20" t="n">
        <v>1.20181517</v>
      </c>
      <c r="I13" s="18" t="s">
        <v>349</v>
      </c>
      <c r="J13" s="20" t="s">
        <v>349</v>
      </c>
      <c r="K13" s="18" t="n">
        <v>0.05594659</v>
      </c>
      <c r="L13" s="20" t="n">
        <v>0.03385312</v>
      </c>
      <c r="M13" s="18" t="n">
        <v>0</v>
      </c>
      <c r="N13" s="20" t="n">
        <v>0</v>
      </c>
      <c r="O13" s="18" t="n">
        <v>0</v>
      </c>
      <c r="P13" s="20" t="n">
        <v>0</v>
      </c>
      <c r="Q13" s="18" t="n">
        <v>1.3943721</v>
      </c>
      <c r="R13" s="20" t="n">
        <v>0.6142073</v>
      </c>
    </row>
    <row r="14" spans="1:18">
      <c r="A14" s="15" t="s">
        <v>356</v>
      </c>
      <c r="B14" s="17" t="n">
        <v>2799</v>
      </c>
      <c r="C14" s="18">
        <f>(2451.0/B14*100)</f>
        <v/>
      </c>
      <c r="D14" s="19" t="n">
        <v>348</v>
      </c>
      <c r="E14" s="18" t="n">
        <v>15.62930141</v>
      </c>
      <c r="F14" s="20" t="n">
        <v>2.45824591</v>
      </c>
      <c r="G14" s="18" t="n">
        <v>82.78773808</v>
      </c>
      <c r="H14" s="20" t="n">
        <v>2.51167775</v>
      </c>
      <c r="I14" s="18" t="s">
        <v>349</v>
      </c>
      <c r="J14" s="20" t="s">
        <v>349</v>
      </c>
      <c r="K14" s="18" t="n">
        <v>0</v>
      </c>
      <c r="L14" s="20" t="n">
        <v>0</v>
      </c>
      <c r="M14" s="18" t="n">
        <v>0</v>
      </c>
      <c r="N14" s="20" t="n">
        <v>0</v>
      </c>
      <c r="O14" s="18" t="n">
        <v>0</v>
      </c>
      <c r="P14" s="20" t="n">
        <v>0</v>
      </c>
      <c r="Q14" s="18" t="n">
        <v>1.58296051</v>
      </c>
      <c r="R14" s="20" t="n">
        <v>0.93457243</v>
      </c>
    </row>
    <row r="15" spans="1:18">
      <c r="A15" s="15" t="s">
        <v>357</v>
      </c>
      <c r="B15" s="17" t="n">
        <v>3019</v>
      </c>
      <c r="C15" s="18">
        <f>(2628.0/B15*100)</f>
        <v/>
      </c>
      <c r="D15" s="19" t="n">
        <v>391</v>
      </c>
      <c r="E15" s="18" t="n">
        <v>6.93595572</v>
      </c>
      <c r="F15" s="20" t="n">
        <v>1.46160893</v>
      </c>
      <c r="G15" s="18" t="n">
        <v>90.11527595</v>
      </c>
      <c r="H15" s="20" t="n">
        <v>1.92849942</v>
      </c>
      <c r="I15" s="18" t="s">
        <v>349</v>
      </c>
      <c r="J15" s="20" t="s">
        <v>349</v>
      </c>
      <c r="K15" s="18" t="n">
        <v>0.46541812</v>
      </c>
      <c r="L15" s="20" t="n">
        <v>0.32629076</v>
      </c>
      <c r="M15" s="18" t="n">
        <v>0</v>
      </c>
      <c r="N15" s="20" t="n">
        <v>0</v>
      </c>
      <c r="O15" s="18" t="n">
        <v>0</v>
      </c>
      <c r="P15" s="20" t="n">
        <v>0</v>
      </c>
      <c r="Q15" s="18" t="n">
        <v>2.48335021</v>
      </c>
      <c r="R15" s="20" t="n">
        <v>1.02410462</v>
      </c>
    </row>
    <row r="16" spans="1:18">
      <c r="A16" s="15" t="s">
        <v>358</v>
      </c>
      <c r="B16" s="17" t="n">
        <v>2997</v>
      </c>
      <c r="C16" s="18">
        <f>(2643.0/B16*100)</f>
        <v/>
      </c>
      <c r="D16" s="19" t="n">
        <v>354</v>
      </c>
      <c r="E16" s="18" t="n">
        <v>8.153107840000001</v>
      </c>
      <c r="F16" s="20" t="n">
        <v>1.36318867</v>
      </c>
      <c r="G16" s="18" t="n">
        <v>88.73806224</v>
      </c>
      <c r="H16" s="20" t="n">
        <v>1.71146901</v>
      </c>
      <c r="I16" s="18" t="s">
        <v>349</v>
      </c>
      <c r="J16" s="20" t="s">
        <v>349</v>
      </c>
      <c r="K16" s="18" t="n">
        <v>1.09129436</v>
      </c>
      <c r="L16" s="20" t="n">
        <v>0.50456123</v>
      </c>
      <c r="M16" s="18" t="n">
        <v>0</v>
      </c>
      <c r="N16" s="20" t="n">
        <v>0</v>
      </c>
      <c r="O16" s="18" t="n">
        <v>0</v>
      </c>
      <c r="P16" s="20" t="n">
        <v>0</v>
      </c>
      <c r="Q16" s="18" t="n">
        <v>2.01753556</v>
      </c>
      <c r="R16" s="20" t="n">
        <v>0.73878252</v>
      </c>
    </row>
    <row r="17" spans="1:18">
      <c r="A17" s="15" t="s">
        <v>359</v>
      </c>
      <c r="B17" s="17" t="n">
        <v>3307</v>
      </c>
      <c r="C17" s="18">
        <f>(2841.0/B17*100)</f>
        <v/>
      </c>
      <c r="D17" s="19" t="n">
        <v>466</v>
      </c>
      <c r="E17" s="18" t="n">
        <v>12.02082849</v>
      </c>
      <c r="F17" s="20" t="n">
        <v>1.3109575</v>
      </c>
      <c r="G17" s="18" t="n">
        <v>82.67803234</v>
      </c>
      <c r="H17" s="20" t="n">
        <v>2.08881063</v>
      </c>
      <c r="I17" s="18" t="s">
        <v>349</v>
      </c>
      <c r="J17" s="20" t="s">
        <v>349</v>
      </c>
      <c r="K17" s="18" t="n">
        <v>0.9318651</v>
      </c>
      <c r="L17" s="20" t="n">
        <v>0.27530816</v>
      </c>
      <c r="M17" s="18" t="n">
        <v>0</v>
      </c>
      <c r="N17" s="20" t="n">
        <v>0</v>
      </c>
      <c r="O17" s="18" t="n">
        <v>0</v>
      </c>
      <c r="P17" s="20" t="n">
        <v>0</v>
      </c>
      <c r="Q17" s="18" t="n">
        <v>4.36927406</v>
      </c>
      <c r="R17" s="20" t="n">
        <v>1.0962826</v>
      </c>
    </row>
    <row r="18" spans="1:18">
      <c r="A18" s="15" t="s">
        <v>360</v>
      </c>
      <c r="B18" s="17" t="n">
        <v>2826</v>
      </c>
      <c r="C18" s="18">
        <f>(2477.0/B18*100)</f>
        <v/>
      </c>
      <c r="D18" s="19" t="n">
        <v>349</v>
      </c>
      <c r="E18" s="18" t="n">
        <v>19.90938149</v>
      </c>
      <c r="F18" s="20" t="n">
        <v>2.52865707</v>
      </c>
      <c r="G18" s="18" t="n">
        <v>76.01548826</v>
      </c>
      <c r="H18" s="20" t="n">
        <v>3.14357933</v>
      </c>
      <c r="I18" s="18" t="s">
        <v>349</v>
      </c>
      <c r="J18" s="20" t="s">
        <v>349</v>
      </c>
      <c r="K18" s="18" t="n">
        <v>0.51563346</v>
      </c>
      <c r="L18" s="20" t="n">
        <v>0.5157856199999999</v>
      </c>
      <c r="M18" s="18" t="n">
        <v>0</v>
      </c>
      <c r="N18" s="20" t="n">
        <v>0</v>
      </c>
      <c r="O18" s="18" t="n">
        <v>0</v>
      </c>
      <c r="P18" s="20" t="n">
        <v>0</v>
      </c>
      <c r="Q18" s="18" t="n">
        <v>3.55949679</v>
      </c>
      <c r="R18" s="20" t="n">
        <v>1.32247267</v>
      </c>
    </row>
    <row r="19" spans="1:18">
      <c r="A19" s="15" t="s">
        <v>361</v>
      </c>
      <c r="B19" s="17" t="n">
        <v>2808</v>
      </c>
      <c r="C19" s="18">
        <f>(2454.0/B19*100)</f>
        <v/>
      </c>
      <c r="D19" s="19" t="n">
        <v>354</v>
      </c>
      <c r="E19" s="18" t="n">
        <v>17.47615537</v>
      </c>
      <c r="F19" s="20" t="n">
        <v>2.2712134</v>
      </c>
      <c r="G19" s="18" t="n">
        <v>80.25953785</v>
      </c>
      <c r="H19" s="20" t="n">
        <v>2.4898747</v>
      </c>
      <c r="I19" s="18" t="s">
        <v>349</v>
      </c>
      <c r="J19" s="20" t="s">
        <v>349</v>
      </c>
      <c r="K19" s="18" t="n">
        <v>0</v>
      </c>
      <c r="L19" s="20" t="n">
        <v>0</v>
      </c>
      <c r="M19" s="18" t="n">
        <v>0</v>
      </c>
      <c r="N19" s="20" t="n">
        <v>0</v>
      </c>
      <c r="O19" s="18" t="n">
        <v>0</v>
      </c>
      <c r="P19" s="20" t="n">
        <v>0</v>
      </c>
      <c r="Q19" s="18" t="n">
        <v>2.26430678</v>
      </c>
      <c r="R19" s="20" t="n">
        <v>1.00006556</v>
      </c>
    </row>
    <row r="20" spans="1:18">
      <c r="A20" s="15" t="s">
        <v>362</v>
      </c>
      <c r="B20" s="17" t="n">
        <v>1630</v>
      </c>
      <c r="C20" s="18">
        <f>(1432.0/B20*100)</f>
        <v/>
      </c>
      <c r="D20" s="19" t="n">
        <v>198</v>
      </c>
      <c r="E20" s="18" t="n">
        <v>17.7495634</v>
      </c>
      <c r="F20" s="20" t="n">
        <v>2.67601278</v>
      </c>
      <c r="G20" s="18" t="n">
        <v>81.70372543000001</v>
      </c>
      <c r="H20" s="20" t="n">
        <v>2.73124097</v>
      </c>
      <c r="I20" s="18" t="s">
        <v>349</v>
      </c>
      <c r="J20" s="20" t="s">
        <v>349</v>
      </c>
      <c r="K20" s="18" t="n">
        <v>0</v>
      </c>
      <c r="L20" s="20" t="n">
        <v>0</v>
      </c>
      <c r="M20" s="18" t="n">
        <v>0</v>
      </c>
      <c r="N20" s="20" t="n">
        <v>0</v>
      </c>
      <c r="O20" s="18" t="n">
        <v>0</v>
      </c>
      <c r="P20" s="20" t="n">
        <v>0</v>
      </c>
      <c r="Q20" s="18" t="n">
        <v>0.54671117</v>
      </c>
      <c r="R20" s="20" t="n">
        <v>0.52583532</v>
      </c>
    </row>
    <row r="21" spans="1:18">
      <c r="A21" s="15" t="s">
        <v>363</v>
      </c>
      <c r="B21" s="17" t="n">
        <v>2908</v>
      </c>
      <c r="C21" s="18">
        <f>(2400.0/B21*100)</f>
        <v/>
      </c>
      <c r="D21" s="19" t="n">
        <v>508</v>
      </c>
      <c r="E21" s="18" t="n">
        <v>7.85069464</v>
      </c>
      <c r="F21" s="20" t="n">
        <v>0.87041115</v>
      </c>
      <c r="G21" s="18" t="n">
        <v>89.9440481</v>
      </c>
      <c r="H21" s="20" t="n">
        <v>1.0798172</v>
      </c>
      <c r="I21" s="18" t="s">
        <v>349</v>
      </c>
      <c r="J21" s="20" t="s">
        <v>349</v>
      </c>
      <c r="K21" s="18" t="n">
        <v>0.30322023</v>
      </c>
      <c r="L21" s="20" t="n">
        <v>0.21454015</v>
      </c>
      <c r="M21" s="18" t="n">
        <v>0</v>
      </c>
      <c r="N21" s="20" t="n">
        <v>0</v>
      </c>
      <c r="O21" s="18" t="n">
        <v>0</v>
      </c>
      <c r="P21" s="20" t="n">
        <v>0</v>
      </c>
      <c r="Q21" s="18" t="n">
        <v>1.90203703</v>
      </c>
      <c r="R21" s="20" t="n">
        <v>0.62632769</v>
      </c>
    </row>
    <row r="22" spans="1:18">
      <c r="A22" s="15" t="s">
        <v>364</v>
      </c>
      <c r="B22" s="17" t="n">
        <v>2931</v>
      </c>
      <c r="C22" s="18">
        <f>(2561.0/B22*100)</f>
        <v/>
      </c>
      <c r="D22" s="19" t="n">
        <v>370</v>
      </c>
      <c r="E22" s="18" t="n">
        <v>13.68697804</v>
      </c>
      <c r="F22" s="20" t="n">
        <v>2.14884106</v>
      </c>
      <c r="G22" s="18" t="n">
        <v>81.69833971</v>
      </c>
      <c r="H22" s="20" t="n">
        <v>2.46695816</v>
      </c>
      <c r="I22" s="18" t="s">
        <v>349</v>
      </c>
      <c r="J22" s="20" t="s">
        <v>349</v>
      </c>
      <c r="K22" s="18" t="n">
        <v>0.7301274</v>
      </c>
      <c r="L22" s="20" t="n">
        <v>0.50644556</v>
      </c>
      <c r="M22" s="18" t="n">
        <v>0</v>
      </c>
      <c r="N22" s="20" t="n">
        <v>0</v>
      </c>
      <c r="O22" s="18" t="n">
        <v>0</v>
      </c>
      <c r="P22" s="20" t="n">
        <v>0</v>
      </c>
      <c r="Q22" s="18" t="n">
        <v>3.88455486</v>
      </c>
      <c r="R22" s="20" t="n">
        <v>1.37854665</v>
      </c>
    </row>
    <row r="23" spans="1:18">
      <c r="A23" s="15" t="s">
        <v>365</v>
      </c>
      <c r="B23" s="17" t="n">
        <v>5791</v>
      </c>
      <c r="C23" s="18">
        <f>(5090.0/B23*100)</f>
        <v/>
      </c>
      <c r="D23" s="19" t="n">
        <v>701</v>
      </c>
      <c r="E23" s="18" t="n">
        <v>13.6340843</v>
      </c>
      <c r="F23" s="20" t="n">
        <v>2.25563307</v>
      </c>
      <c r="G23" s="18" t="n">
        <v>83.48224381999999</v>
      </c>
      <c r="H23" s="20" t="n">
        <v>2.17332139</v>
      </c>
      <c r="I23" s="18" t="s">
        <v>349</v>
      </c>
      <c r="J23" s="20" t="s">
        <v>349</v>
      </c>
      <c r="K23" s="18" t="n">
        <v>0.22931106</v>
      </c>
      <c r="L23" s="20" t="n">
        <v>0.22872687</v>
      </c>
      <c r="M23" s="18" t="n">
        <v>0</v>
      </c>
      <c r="N23" s="20" t="n">
        <v>0</v>
      </c>
      <c r="O23" s="18" t="n">
        <v>0</v>
      </c>
      <c r="P23" s="20" t="n">
        <v>0</v>
      </c>
      <c r="Q23" s="18" t="n">
        <v>2.65436083</v>
      </c>
      <c r="R23" s="20" t="n">
        <v>1.08842422</v>
      </c>
    </row>
    <row r="24" spans="1:18">
      <c r="A24" s="15" t="s">
        <v>366</v>
      </c>
      <c r="B24" s="17" t="n">
        <v>3338</v>
      </c>
      <c r="C24" s="18">
        <f>(2938.0/B24*100)</f>
        <v/>
      </c>
      <c r="D24" s="19" t="n">
        <v>400</v>
      </c>
      <c r="E24" s="18" t="n">
        <v>4.36668646</v>
      </c>
      <c r="F24" s="20" t="n">
        <v>1.03997498</v>
      </c>
      <c r="G24" s="18" t="n">
        <v>94.28450898</v>
      </c>
      <c r="H24" s="20" t="n">
        <v>1.13867219</v>
      </c>
      <c r="I24" s="18" t="s">
        <v>349</v>
      </c>
      <c r="J24" s="20" t="s">
        <v>349</v>
      </c>
      <c r="K24" s="18" t="n">
        <v>0.17720359</v>
      </c>
      <c r="L24" s="20" t="n">
        <v>0.17756785</v>
      </c>
      <c r="M24" s="18" t="n">
        <v>0</v>
      </c>
      <c r="N24" s="20" t="n">
        <v>0</v>
      </c>
      <c r="O24" s="18" t="n">
        <v>0</v>
      </c>
      <c r="P24" s="20" t="n">
        <v>0</v>
      </c>
      <c r="Q24" s="18" t="n">
        <v>1.17160098</v>
      </c>
      <c r="R24" s="20" t="n">
        <v>0.54049981</v>
      </c>
    </row>
    <row r="25" spans="1:18">
      <c r="A25" s="15" t="s">
        <v>367</v>
      </c>
      <c r="B25" s="17" t="n">
        <v>2912</v>
      </c>
      <c r="C25" s="18">
        <f>(2540.0/B25*100)</f>
        <v/>
      </c>
      <c r="D25" s="19" t="n">
        <v>372</v>
      </c>
      <c r="E25" s="18" t="n">
        <v>15.35637305</v>
      </c>
      <c r="F25" s="20" t="n">
        <v>1.62431956</v>
      </c>
      <c r="G25" s="18" t="n">
        <v>82.55583983</v>
      </c>
      <c r="H25" s="20" t="n">
        <v>1.79395166</v>
      </c>
      <c r="I25" s="18" t="s">
        <v>349</v>
      </c>
      <c r="J25" s="20" t="s">
        <v>349</v>
      </c>
      <c r="K25" s="18" t="n">
        <v>0.80783242</v>
      </c>
      <c r="L25" s="20" t="n">
        <v>0.46929254</v>
      </c>
      <c r="M25" s="18" t="n">
        <v>0</v>
      </c>
      <c r="N25" s="20" t="n">
        <v>0</v>
      </c>
      <c r="O25" s="18" t="n">
        <v>0</v>
      </c>
      <c r="P25" s="20" t="n">
        <v>0</v>
      </c>
      <c r="Q25" s="18" t="n">
        <v>1.2799547</v>
      </c>
      <c r="R25" s="20" t="n">
        <v>0.69202511</v>
      </c>
    </row>
    <row r="26" spans="1:18">
      <c r="A26" s="15" t="s">
        <v>368</v>
      </c>
      <c r="B26" s="17" t="n">
        <v>2450</v>
      </c>
      <c r="C26" s="18">
        <f>(2134.0/B26*100)</f>
        <v/>
      </c>
      <c r="D26" s="19" t="n">
        <v>316</v>
      </c>
      <c r="E26" s="18" t="n">
        <v>19.16356526</v>
      </c>
      <c r="F26" s="20" t="n">
        <v>2.25815198</v>
      </c>
      <c r="G26" s="18" t="n">
        <v>79.88453521</v>
      </c>
      <c r="H26" s="20" t="n">
        <v>2.35291491</v>
      </c>
      <c r="I26" s="18" t="s">
        <v>349</v>
      </c>
      <c r="J26" s="20" t="s">
        <v>349</v>
      </c>
      <c r="K26" s="18" t="n">
        <v>0</v>
      </c>
      <c r="L26" s="20" t="n">
        <v>0</v>
      </c>
      <c r="M26" s="18" t="n">
        <v>0</v>
      </c>
      <c r="N26" s="20" t="n">
        <v>0</v>
      </c>
      <c r="O26" s="18" t="n">
        <v>0</v>
      </c>
      <c r="P26" s="20" t="n">
        <v>0</v>
      </c>
      <c r="Q26" s="18" t="n">
        <v>0.95189953</v>
      </c>
      <c r="R26" s="20" t="n">
        <v>0.47142934</v>
      </c>
    </row>
    <row r="27" spans="1:18">
      <c r="A27" s="15" t="s">
        <v>369</v>
      </c>
      <c r="B27" s="17" t="n">
        <v>2616</v>
      </c>
      <c r="C27" s="18">
        <f>(2306.0/B27*100)</f>
        <v/>
      </c>
      <c r="D27" s="19" t="n">
        <v>310</v>
      </c>
      <c r="E27" s="18" t="n">
        <v>14.25853265</v>
      </c>
      <c r="F27" s="20" t="n">
        <v>1.77657557</v>
      </c>
      <c r="G27" s="18" t="n">
        <v>82.5609291</v>
      </c>
      <c r="H27" s="20" t="n">
        <v>1.99874633</v>
      </c>
      <c r="I27" s="18" t="s">
        <v>349</v>
      </c>
      <c r="J27" s="20" t="s">
        <v>349</v>
      </c>
      <c r="K27" s="18" t="n">
        <v>0.64474451</v>
      </c>
      <c r="L27" s="20" t="n">
        <v>0.45310908</v>
      </c>
      <c r="M27" s="18" t="n">
        <v>0</v>
      </c>
      <c r="N27" s="20" t="n">
        <v>0</v>
      </c>
      <c r="O27" s="18" t="n">
        <v>0</v>
      </c>
      <c r="P27" s="20" t="n">
        <v>0</v>
      </c>
      <c r="Q27" s="18" t="n">
        <v>2.53579373</v>
      </c>
      <c r="R27" s="20" t="n">
        <v>0.89001571</v>
      </c>
    </row>
    <row r="28" spans="1:18">
      <c r="A28" s="15" t="s">
        <v>370</v>
      </c>
      <c r="B28" s="17" t="n">
        <v>3765</v>
      </c>
      <c r="C28" s="18">
        <f>(3279.0/B28*100)</f>
        <v/>
      </c>
      <c r="D28" s="19" t="n">
        <v>486</v>
      </c>
      <c r="E28" s="18" t="n">
        <v>31.52215381</v>
      </c>
      <c r="F28" s="20" t="n">
        <v>2.46807838</v>
      </c>
      <c r="G28" s="18" t="n">
        <v>65.76374647</v>
      </c>
      <c r="H28" s="20" t="n">
        <v>2.35465856</v>
      </c>
      <c r="I28" s="18" t="s">
        <v>349</v>
      </c>
      <c r="J28" s="20" t="s">
        <v>349</v>
      </c>
      <c r="K28" s="18" t="n">
        <v>0.41480417</v>
      </c>
      <c r="L28" s="20" t="n">
        <v>0.40032554</v>
      </c>
      <c r="M28" s="18" t="n">
        <v>0</v>
      </c>
      <c r="N28" s="20" t="n">
        <v>0</v>
      </c>
      <c r="O28" s="18" t="n">
        <v>0</v>
      </c>
      <c r="P28" s="20" t="n">
        <v>0</v>
      </c>
      <c r="Q28" s="18" t="n">
        <v>2.29929555</v>
      </c>
      <c r="R28" s="20" t="n">
        <v>0.91925865</v>
      </c>
    </row>
    <row r="29" spans="1:18">
      <c r="A29" s="15" t="s">
        <v>371</v>
      </c>
      <c r="B29" s="17" t="n">
        <v>2685</v>
      </c>
      <c r="C29" s="18">
        <f>(2279.0/B29*100)</f>
        <v/>
      </c>
      <c r="D29" s="19" t="n">
        <v>406</v>
      </c>
      <c r="E29" s="18" t="n">
        <v>11.4876734</v>
      </c>
      <c r="F29" s="20" t="n">
        <v>1.74443458</v>
      </c>
      <c r="G29" s="18" t="n">
        <v>86.58816442</v>
      </c>
      <c r="H29" s="20" t="n">
        <v>2.54001648</v>
      </c>
      <c r="I29" s="18" t="s">
        <v>349</v>
      </c>
      <c r="J29" s="20" t="s">
        <v>349</v>
      </c>
      <c r="K29" s="18" t="n">
        <v>1.05670439</v>
      </c>
      <c r="L29" s="20" t="n">
        <v>0.67270613</v>
      </c>
      <c r="M29" s="18" t="n">
        <v>0</v>
      </c>
      <c r="N29" s="20" t="n">
        <v>0</v>
      </c>
      <c r="O29" s="18" t="n">
        <v>0</v>
      </c>
      <c r="P29" s="20" t="n">
        <v>0</v>
      </c>
      <c r="Q29" s="18" t="n">
        <v>0.86745779</v>
      </c>
      <c r="R29" s="20" t="n">
        <v>0.59288051</v>
      </c>
    </row>
    <row r="30" spans="1:18">
      <c r="A30" s="15" t="s">
        <v>372</v>
      </c>
      <c r="B30" s="17" t="n">
        <v>2263</v>
      </c>
      <c r="C30" s="18">
        <f>(2000.0/B30*100)</f>
        <v/>
      </c>
      <c r="D30" s="19" t="n">
        <v>263</v>
      </c>
      <c r="E30" s="18" t="n">
        <v>8.391111670000001</v>
      </c>
      <c r="F30" s="20" t="n">
        <v>1.64105809</v>
      </c>
      <c r="G30" s="18" t="n">
        <v>90.06306444000001</v>
      </c>
      <c r="H30" s="20" t="n">
        <v>1.72051297</v>
      </c>
      <c r="I30" s="18" t="s">
        <v>349</v>
      </c>
      <c r="J30" s="20" t="s">
        <v>349</v>
      </c>
      <c r="K30" s="18" t="n">
        <v>0</v>
      </c>
      <c r="L30" s="20" t="n">
        <v>0</v>
      </c>
      <c r="M30" s="18" t="n">
        <v>0</v>
      </c>
      <c r="N30" s="20" t="n">
        <v>0</v>
      </c>
      <c r="O30" s="18" t="n">
        <v>0</v>
      </c>
      <c r="P30" s="20" t="n">
        <v>0</v>
      </c>
      <c r="Q30" s="18" t="n">
        <v>1.54582389</v>
      </c>
      <c r="R30" s="20" t="n">
        <v>0.56433702</v>
      </c>
    </row>
    <row r="31" spans="1:18">
      <c r="A31" s="15" t="s">
        <v>373</v>
      </c>
      <c r="B31" s="17" t="n">
        <v>2750</v>
      </c>
      <c r="C31" s="18">
        <f>(2421.0/B31*100)</f>
        <v/>
      </c>
      <c r="D31" s="19" t="n">
        <v>329</v>
      </c>
      <c r="E31" s="18" t="n">
        <v>9.532300599999999</v>
      </c>
      <c r="F31" s="20" t="n">
        <v>1.44897627</v>
      </c>
      <c r="G31" s="18" t="n">
        <v>87.49417247</v>
      </c>
      <c r="H31" s="20" t="n">
        <v>1.73125119</v>
      </c>
      <c r="I31" s="18" t="s">
        <v>349</v>
      </c>
      <c r="J31" s="20" t="s">
        <v>349</v>
      </c>
      <c r="K31" s="18" t="n">
        <v>0.29809883</v>
      </c>
      <c r="L31" s="20" t="n">
        <v>0.32178592</v>
      </c>
      <c r="M31" s="18" t="n">
        <v>0</v>
      </c>
      <c r="N31" s="20" t="n">
        <v>0</v>
      </c>
      <c r="O31" s="18" t="n">
        <v>0</v>
      </c>
      <c r="P31" s="20" t="n">
        <v>0</v>
      </c>
      <c r="Q31" s="18" t="n">
        <v>2.67542809</v>
      </c>
      <c r="R31" s="20" t="n">
        <v>0.8803247199999999</v>
      </c>
    </row>
    <row r="32" spans="1:18">
      <c r="A32" s="15" t="s">
        <v>374</v>
      </c>
      <c r="B32" s="17" t="n">
        <v>2269</v>
      </c>
      <c r="C32" s="18">
        <f>(1889.0/B32*100)</f>
        <v/>
      </c>
      <c r="D32" s="19" t="n">
        <v>380</v>
      </c>
      <c r="E32" s="18" t="n">
        <v>10.2541167</v>
      </c>
      <c r="F32" s="20" t="n">
        <v>1.57178306</v>
      </c>
      <c r="G32" s="18" t="n">
        <v>88.55541402</v>
      </c>
      <c r="H32" s="20" t="n">
        <v>1.66915285</v>
      </c>
      <c r="I32" s="18" t="s">
        <v>349</v>
      </c>
      <c r="J32" s="20" t="s">
        <v>349</v>
      </c>
      <c r="K32" s="18" t="n">
        <v>0</v>
      </c>
      <c r="L32" s="20" t="n">
        <v>0</v>
      </c>
      <c r="M32" s="18" t="n">
        <v>0</v>
      </c>
      <c r="N32" s="20" t="n">
        <v>0</v>
      </c>
      <c r="O32" s="18" t="n">
        <v>0</v>
      </c>
      <c r="P32" s="20" t="n">
        <v>0</v>
      </c>
      <c r="Q32" s="18" t="n">
        <v>1.19046928</v>
      </c>
      <c r="R32" s="20" t="n">
        <v>0.6050463</v>
      </c>
    </row>
    <row r="33" spans="1:18">
      <c r="A33" s="15" t="s">
        <v>375</v>
      </c>
      <c r="B33" s="17" t="n">
        <v>3674</v>
      </c>
      <c r="C33" s="18">
        <f>(3219.0/B33*100)</f>
        <v/>
      </c>
      <c r="D33" s="19" t="n">
        <v>455</v>
      </c>
      <c r="E33" s="18" t="n">
        <v>6.09280109</v>
      </c>
      <c r="F33" s="20" t="n">
        <v>1.28380296</v>
      </c>
      <c r="G33" s="18" t="n">
        <v>92.49673781</v>
      </c>
      <c r="H33" s="20" t="n">
        <v>1.4907222</v>
      </c>
      <c r="I33" s="18" t="s">
        <v>349</v>
      </c>
      <c r="J33" s="20" t="s">
        <v>349</v>
      </c>
      <c r="K33" s="18" t="n">
        <v>0.31789853</v>
      </c>
      <c r="L33" s="20" t="n">
        <v>0.27832255</v>
      </c>
      <c r="M33" s="18" t="n">
        <v>0</v>
      </c>
      <c r="N33" s="20" t="n">
        <v>0</v>
      </c>
      <c r="O33" s="18" t="n">
        <v>0</v>
      </c>
      <c r="P33" s="20" t="n">
        <v>0</v>
      </c>
      <c r="Q33" s="18" t="n">
        <v>1.09256256</v>
      </c>
      <c r="R33" s="20" t="n">
        <v>0.64726374</v>
      </c>
    </row>
    <row r="34" spans="1:18">
      <c r="A34" s="15" t="s">
        <v>376</v>
      </c>
      <c r="B34" s="17" t="n">
        <v>3315</v>
      </c>
      <c r="C34" s="18">
        <f>(2858.0/B34*100)</f>
        <v/>
      </c>
      <c r="D34" s="19" t="n">
        <v>457</v>
      </c>
      <c r="E34" s="18" t="n">
        <v>23.65192759</v>
      </c>
      <c r="F34" s="20" t="n">
        <v>2.7022898</v>
      </c>
      <c r="G34" s="18" t="n">
        <v>72.93273529</v>
      </c>
      <c r="H34" s="20" t="n">
        <v>3.03655748</v>
      </c>
      <c r="I34" s="18" t="s">
        <v>349</v>
      </c>
      <c r="J34" s="20" t="s">
        <v>349</v>
      </c>
      <c r="K34" s="18" t="n">
        <v>0</v>
      </c>
      <c r="L34" s="20" t="n">
        <v>0</v>
      </c>
      <c r="M34" s="18" t="n">
        <v>0</v>
      </c>
      <c r="N34" s="20" t="n">
        <v>0</v>
      </c>
      <c r="O34" s="18" t="n">
        <v>0</v>
      </c>
      <c r="P34" s="20" t="n">
        <v>0</v>
      </c>
      <c r="Q34" s="18" t="n">
        <v>3.41533712</v>
      </c>
      <c r="R34" s="20" t="n">
        <v>1.11778694</v>
      </c>
    </row>
    <row r="35" spans="1:18">
      <c r="A35" s="15" t="s">
        <v>377</v>
      </c>
      <c r="B35" s="17" t="n">
        <v>3505</v>
      </c>
      <c r="C35" s="18">
        <f>(2996.0/B35*100)</f>
        <v/>
      </c>
      <c r="D35" s="19" t="n">
        <v>509</v>
      </c>
      <c r="E35" s="18" t="n">
        <v>15.41154278</v>
      </c>
      <c r="F35" s="20" t="n">
        <v>1.89028953</v>
      </c>
      <c r="G35" s="18" t="n">
        <v>81.93939828000001</v>
      </c>
      <c r="H35" s="20" t="n">
        <v>1.91592688</v>
      </c>
      <c r="I35" s="18" t="s">
        <v>349</v>
      </c>
      <c r="J35" s="20" t="s">
        <v>349</v>
      </c>
      <c r="K35" s="18" t="n">
        <v>0</v>
      </c>
      <c r="L35" s="20" t="n">
        <v>0</v>
      </c>
      <c r="M35" s="18" t="n">
        <v>0</v>
      </c>
      <c r="N35" s="20" t="n">
        <v>0</v>
      </c>
      <c r="O35" s="18" t="n">
        <v>0</v>
      </c>
      <c r="P35" s="20" t="n">
        <v>0</v>
      </c>
      <c r="Q35" s="18" t="n">
        <v>2.64905894</v>
      </c>
      <c r="R35" s="20" t="n">
        <v>0.63132961</v>
      </c>
    </row>
    <row r="36" spans="1:18">
      <c r="A36" s="15" t="s">
        <v>378</v>
      </c>
      <c r="B36" s="17" t="n">
        <v>3332</v>
      </c>
      <c r="C36" s="18">
        <f>(2936.0/B36*100)</f>
        <v/>
      </c>
      <c r="D36" s="19" t="n">
        <v>396</v>
      </c>
      <c r="E36" s="18" t="n">
        <v>9.89453159</v>
      </c>
      <c r="F36" s="20" t="n">
        <v>1.4724138</v>
      </c>
      <c r="G36" s="18" t="n">
        <v>86.58137517</v>
      </c>
      <c r="H36" s="20" t="n">
        <v>1.70440712</v>
      </c>
      <c r="I36" s="18" t="s">
        <v>349</v>
      </c>
      <c r="J36" s="20" t="s">
        <v>349</v>
      </c>
      <c r="K36" s="18" t="n">
        <v>0.57786106</v>
      </c>
      <c r="L36" s="20" t="n">
        <v>0.33893626</v>
      </c>
      <c r="M36" s="18" t="n">
        <v>0</v>
      </c>
      <c r="N36" s="20" t="n">
        <v>0</v>
      </c>
      <c r="O36" s="18" t="n">
        <v>0</v>
      </c>
      <c r="P36" s="20" t="n">
        <v>0</v>
      </c>
      <c r="Q36" s="18" t="n">
        <v>2.94623217</v>
      </c>
      <c r="R36" s="20" t="n">
        <v>0.95137888</v>
      </c>
    </row>
    <row r="37" spans="1:18">
      <c r="A37" s="15" t="s">
        <v>379</v>
      </c>
      <c r="B37" s="17" t="n">
        <v>2727</v>
      </c>
      <c r="C37" s="18">
        <f>(2392.0/B37*100)</f>
        <v/>
      </c>
      <c r="D37" s="19" t="n">
        <v>335</v>
      </c>
      <c r="E37" s="18" t="n">
        <v>14.06287904</v>
      </c>
      <c r="F37" s="20" t="n">
        <v>1.9939849</v>
      </c>
      <c r="G37" s="18" t="n">
        <v>83.06977394</v>
      </c>
      <c r="H37" s="20" t="n">
        <v>2.29765279</v>
      </c>
      <c r="I37" s="18" t="s">
        <v>349</v>
      </c>
      <c r="J37" s="20" t="s">
        <v>349</v>
      </c>
      <c r="K37" s="18" t="n">
        <v>0.49456232</v>
      </c>
      <c r="L37" s="20" t="n">
        <v>0.49052443</v>
      </c>
      <c r="M37" s="18" t="n">
        <v>0</v>
      </c>
      <c r="N37" s="20" t="n">
        <v>0</v>
      </c>
      <c r="O37" s="18" t="n">
        <v>0</v>
      </c>
      <c r="P37" s="20" t="n">
        <v>0</v>
      </c>
      <c r="Q37" s="18" t="n">
        <v>2.37278469</v>
      </c>
      <c r="R37" s="20" t="n">
        <v>0.97150129</v>
      </c>
    </row>
    <row r="38" spans="1:18">
      <c r="A38" s="15" t="s">
        <v>380</v>
      </c>
      <c r="B38" s="17" t="n">
        <v>3053</v>
      </c>
      <c r="C38" s="18">
        <f>(2516.0/B38*100)</f>
        <v/>
      </c>
      <c r="D38" s="19" t="n">
        <v>537</v>
      </c>
      <c r="E38" s="18" t="n">
        <v>6.71428174</v>
      </c>
      <c r="F38" s="20" t="n">
        <v>1.27888123</v>
      </c>
      <c r="G38" s="18" t="n">
        <v>90.69273416</v>
      </c>
      <c r="H38" s="20" t="n">
        <v>1.46092564</v>
      </c>
      <c r="I38" s="18" t="s">
        <v>349</v>
      </c>
      <c r="J38" s="20" t="s">
        <v>349</v>
      </c>
      <c r="K38" s="18" t="n">
        <v>0</v>
      </c>
      <c r="L38" s="20" t="n">
        <v>0</v>
      </c>
      <c r="M38" s="18" t="n">
        <v>0</v>
      </c>
      <c r="N38" s="20" t="n">
        <v>0</v>
      </c>
      <c r="O38" s="18" t="n">
        <v>0</v>
      </c>
      <c r="P38" s="20" t="n">
        <v>0</v>
      </c>
      <c r="Q38" s="18" t="n">
        <v>2.5929841</v>
      </c>
      <c r="R38" s="20" t="n">
        <v>0.7739538</v>
      </c>
    </row>
    <row r="39" spans="1:18">
      <c r="A39" s="15" t="s">
        <v>381</v>
      </c>
      <c r="B39" s="17" t="n">
        <v>2957</v>
      </c>
      <c r="C39" s="18">
        <f>(2588.0/B39*100)</f>
        <v/>
      </c>
      <c r="D39" s="19" t="n">
        <v>369</v>
      </c>
      <c r="E39" s="18" t="n">
        <v>40.69688626</v>
      </c>
      <c r="F39" s="20" t="n">
        <v>2.71556452</v>
      </c>
      <c r="G39" s="18" t="n">
        <v>57.0049651</v>
      </c>
      <c r="H39" s="20" t="n">
        <v>2.7380082</v>
      </c>
      <c r="I39" s="18" t="s">
        <v>349</v>
      </c>
      <c r="J39" s="20" t="s">
        <v>349</v>
      </c>
      <c r="K39" s="18" t="n">
        <v>0</v>
      </c>
      <c r="L39" s="20" t="n">
        <v>0</v>
      </c>
      <c r="M39" s="18" t="n">
        <v>0</v>
      </c>
      <c r="N39" s="20" t="n">
        <v>0</v>
      </c>
      <c r="O39" s="18" t="n">
        <v>0</v>
      </c>
      <c r="P39" s="20" t="n">
        <v>0</v>
      </c>
      <c r="Q39" s="18" t="n">
        <v>2.29814864</v>
      </c>
      <c r="R39" s="20" t="n">
        <v>0.81758169</v>
      </c>
    </row>
    <row r="40" spans="1:18">
      <c r="A40" s="15" t="s">
        <v>382</v>
      </c>
      <c r="B40" s="17" t="n">
        <v>7235</v>
      </c>
      <c r="C40" s="18">
        <f>(6358.0/B40*100)</f>
        <v/>
      </c>
      <c r="D40" s="19" t="n">
        <v>877</v>
      </c>
      <c r="E40" s="18" t="n">
        <v>7.9783225</v>
      </c>
      <c r="F40" s="20" t="n">
        <v>1.3826945</v>
      </c>
      <c r="G40" s="18" t="n">
        <v>88.67683722</v>
      </c>
      <c r="H40" s="20" t="n">
        <v>1.52019887</v>
      </c>
      <c r="I40" s="18" t="s">
        <v>349</v>
      </c>
      <c r="J40" s="20" t="s">
        <v>349</v>
      </c>
      <c r="K40" s="18" t="n">
        <v>0</v>
      </c>
      <c r="L40" s="20" t="n">
        <v>0</v>
      </c>
      <c r="M40" s="18" t="n">
        <v>0</v>
      </c>
      <c r="N40" s="20" t="n">
        <v>0</v>
      </c>
      <c r="O40" s="18" t="n">
        <v>0</v>
      </c>
      <c r="P40" s="20" t="n">
        <v>0</v>
      </c>
      <c r="Q40" s="18" t="n">
        <v>3.34484028</v>
      </c>
      <c r="R40" s="20" t="n">
        <v>1.00275691</v>
      </c>
    </row>
    <row r="41" spans="1:18">
      <c r="A41" s="15" t="s">
        <v>383</v>
      </c>
      <c r="B41" s="17" t="n">
        <v>2858</v>
      </c>
      <c r="C41" s="18">
        <f>(2494.0/B41*100)</f>
        <v/>
      </c>
      <c r="D41" s="19" t="n">
        <v>364</v>
      </c>
      <c r="E41" s="18" t="n">
        <v>11.90178262</v>
      </c>
      <c r="F41" s="20" t="n">
        <v>1.85400927</v>
      </c>
      <c r="G41" s="18" t="n">
        <v>86.90355671</v>
      </c>
      <c r="H41" s="20" t="n">
        <v>1.9348727</v>
      </c>
      <c r="I41" s="18" t="s">
        <v>349</v>
      </c>
      <c r="J41" s="20" t="s">
        <v>349</v>
      </c>
      <c r="K41" s="18" t="n">
        <v>0.26311117</v>
      </c>
      <c r="L41" s="20" t="n">
        <v>0.2546578</v>
      </c>
      <c r="M41" s="18" t="n">
        <v>0</v>
      </c>
      <c r="N41" s="20" t="n">
        <v>0</v>
      </c>
      <c r="O41" s="18" t="n">
        <v>0</v>
      </c>
      <c r="P41" s="20" t="n">
        <v>0</v>
      </c>
      <c r="Q41" s="18" t="n">
        <v>0.9315495</v>
      </c>
      <c r="R41" s="20" t="n">
        <v>0.56466794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(9737.0/B46*100)</f>
        <v/>
      </c>
      <c r="D46" s="19" t="n">
        <v>1331</v>
      </c>
      <c r="E46" s="18" t="n">
        <v>30.4313289</v>
      </c>
      <c r="F46" s="20" t="n">
        <v>1.57210192</v>
      </c>
      <c r="G46" s="18" t="n">
        <v>61.41149598</v>
      </c>
      <c r="H46" s="20" t="n">
        <v>1.67334646</v>
      </c>
      <c r="I46" s="18" t="s">
        <v>349</v>
      </c>
      <c r="J46" s="20" t="s">
        <v>349</v>
      </c>
      <c r="K46" s="18" t="n">
        <v>0.27428603</v>
      </c>
      <c r="L46" s="20" t="n">
        <v>0.17620796</v>
      </c>
      <c r="M46" s="18" t="n">
        <v>0</v>
      </c>
      <c r="N46" s="20" t="n">
        <v>0</v>
      </c>
      <c r="O46" s="18" t="n">
        <v>0</v>
      </c>
      <c r="P46" s="20" t="n">
        <v>0</v>
      </c>
      <c r="Q46" s="18" t="n">
        <v>7.88288909</v>
      </c>
      <c r="R46" s="20" t="n">
        <v>1.01922881</v>
      </c>
    </row>
    <row r="47" spans="1:18">
      <c r="A47" s="15" t="s">
        <v>389</v>
      </c>
      <c r="B47" s="17" t="n">
        <v>3105</v>
      </c>
      <c r="C47" s="18">
        <f>(2741.0/B47*100)</f>
        <v/>
      </c>
      <c r="D47" s="19" t="n">
        <v>364</v>
      </c>
      <c r="E47" s="18" t="n">
        <v>23.86495584</v>
      </c>
      <c r="F47" s="20" t="n">
        <v>2.63754084</v>
      </c>
      <c r="G47" s="18" t="n">
        <v>71.04753706</v>
      </c>
      <c r="H47" s="20" t="n">
        <v>2.97805792</v>
      </c>
      <c r="I47" s="18" t="s">
        <v>349</v>
      </c>
      <c r="J47" s="20" t="s">
        <v>349</v>
      </c>
      <c r="K47" s="18" t="n">
        <v>0</v>
      </c>
      <c r="L47" s="20" t="n">
        <v>0</v>
      </c>
      <c r="M47" s="18" t="n">
        <v>0</v>
      </c>
      <c r="N47" s="20" t="n">
        <v>0</v>
      </c>
      <c r="O47" s="18" t="n">
        <v>0</v>
      </c>
      <c r="P47" s="20" t="n">
        <v>0</v>
      </c>
      <c r="Q47" s="18" t="n">
        <v>5.0875071</v>
      </c>
      <c r="R47" s="20" t="n">
        <v>1.18686754</v>
      </c>
    </row>
    <row r="48" spans="1:18">
      <c r="A48" s="15" t="s">
        <v>390</v>
      </c>
      <c r="B48" s="17" t="n">
        <v>5159</v>
      </c>
      <c r="C48" s="18">
        <f>(4518.0/B48*100)</f>
        <v/>
      </c>
      <c r="D48" s="19" t="n">
        <v>641</v>
      </c>
      <c r="E48" s="18" t="n">
        <v>14.77882987</v>
      </c>
      <c r="F48" s="20" t="n">
        <v>1.68485456</v>
      </c>
      <c r="G48" s="18" t="n">
        <v>83.78953679</v>
      </c>
      <c r="H48" s="20" t="n">
        <v>1.62318203</v>
      </c>
      <c r="I48" s="18" t="s">
        <v>349</v>
      </c>
      <c r="J48" s="20" t="s">
        <v>349</v>
      </c>
      <c r="K48" s="18" t="n">
        <v>0.87880308</v>
      </c>
      <c r="L48" s="20" t="n">
        <v>0.45764995</v>
      </c>
      <c r="M48" s="18" t="n">
        <v>0</v>
      </c>
      <c r="N48" s="20" t="n">
        <v>0</v>
      </c>
      <c r="O48" s="18" t="n">
        <v>0</v>
      </c>
      <c r="P48" s="20" t="n">
        <v>0</v>
      </c>
      <c r="Q48" s="18" t="n">
        <v>0.55283025</v>
      </c>
      <c r="R48" s="20" t="n">
        <v>0.39264087</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(4939.0/B50*100)</f>
        <v/>
      </c>
      <c r="D50" s="19" t="n">
        <v>698</v>
      </c>
      <c r="E50" s="18" t="n">
        <v>23.10401764</v>
      </c>
      <c r="F50" s="20" t="n">
        <v>2.43740058</v>
      </c>
      <c r="G50" s="18" t="n">
        <v>73.68713812999999</v>
      </c>
      <c r="H50" s="20" t="n">
        <v>2.4916352</v>
      </c>
      <c r="I50" s="18" t="s">
        <v>349</v>
      </c>
      <c r="J50" s="20" t="s">
        <v>349</v>
      </c>
      <c r="K50" s="18" t="n">
        <v>1.03330568</v>
      </c>
      <c r="L50" s="20" t="n">
        <v>0.53415188</v>
      </c>
      <c r="M50" s="18" t="n">
        <v>0</v>
      </c>
      <c r="N50" s="20" t="n">
        <v>0</v>
      </c>
      <c r="O50" s="18" t="n">
        <v>0</v>
      </c>
      <c r="P50" s="20" t="n">
        <v>0</v>
      </c>
      <c r="Q50" s="18" t="n">
        <v>2.17553855</v>
      </c>
      <c r="R50" s="20" t="n">
        <v>0.7845602699999999</v>
      </c>
    </row>
    <row r="51" spans="1:18">
      <c r="A51" s="15" t="s">
        <v>393</v>
      </c>
      <c r="B51" s="17" t="n">
        <v>3372</v>
      </c>
      <c r="C51" s="18">
        <f>(2635.0/B51*100)</f>
        <v/>
      </c>
      <c r="D51" s="19" t="n">
        <v>737</v>
      </c>
      <c r="E51" s="18" t="n">
        <v>20.51089624</v>
      </c>
      <c r="F51" s="20" t="n">
        <v>1.99717457</v>
      </c>
      <c r="G51" s="18" t="n">
        <v>77.58304975999999</v>
      </c>
      <c r="H51" s="20" t="n">
        <v>2.0059703</v>
      </c>
      <c r="I51" s="18" t="s">
        <v>349</v>
      </c>
      <c r="J51" s="20" t="s">
        <v>349</v>
      </c>
      <c r="K51" s="18" t="n">
        <v>0.13654831</v>
      </c>
      <c r="L51" s="20" t="n">
        <v>0.13333416</v>
      </c>
      <c r="M51" s="18" t="n">
        <v>0</v>
      </c>
      <c r="N51" s="20" t="n">
        <v>0</v>
      </c>
      <c r="O51" s="18" t="n">
        <v>0</v>
      </c>
      <c r="P51" s="20" t="n">
        <v>0</v>
      </c>
      <c r="Q51" s="18" t="n">
        <v>1.76950569</v>
      </c>
      <c r="R51" s="20" t="n">
        <v>0.53911275</v>
      </c>
    </row>
    <row r="52" spans="1:18">
      <c r="A52" s="15" t="s">
        <v>394</v>
      </c>
      <c r="B52" s="17" t="n">
        <v>2796</v>
      </c>
      <c r="C52" s="18">
        <f>(2453.0/B52*100)</f>
        <v/>
      </c>
      <c r="D52" s="19" t="n">
        <v>343</v>
      </c>
      <c r="E52" s="18" t="n">
        <v>14.42072286</v>
      </c>
      <c r="F52" s="20" t="n">
        <v>1.91222005</v>
      </c>
      <c r="G52" s="18" t="n">
        <v>83.15902234000001</v>
      </c>
      <c r="H52" s="20" t="n">
        <v>1.93110319</v>
      </c>
      <c r="I52" s="18" t="s">
        <v>349</v>
      </c>
      <c r="J52" s="20" t="s">
        <v>349</v>
      </c>
      <c r="K52" s="18" t="n">
        <v>0</v>
      </c>
      <c r="L52" s="20" t="n">
        <v>0</v>
      </c>
      <c r="M52" s="18" t="n">
        <v>0</v>
      </c>
      <c r="N52" s="20" t="n">
        <v>0</v>
      </c>
      <c r="O52" s="18" t="n">
        <v>0</v>
      </c>
      <c r="P52" s="20" t="n">
        <v>0</v>
      </c>
      <c r="Q52" s="18" t="n">
        <v>2.4202548</v>
      </c>
      <c r="R52" s="20" t="n">
        <v>0.8320493799999999</v>
      </c>
    </row>
    <row r="53" spans="1:18">
      <c r="A53" s="15" t="s">
        <v>395</v>
      </c>
      <c r="B53" s="17" t="n">
        <v>2811</v>
      </c>
      <c r="C53" s="18">
        <f>(2470.0/B53*100)</f>
        <v/>
      </c>
      <c r="D53" s="19" t="n">
        <v>341</v>
      </c>
      <c r="E53" s="18" t="n">
        <v>24.0068303</v>
      </c>
      <c r="F53" s="20" t="n">
        <v>2.47010278</v>
      </c>
      <c r="G53" s="18" t="n">
        <v>69.65209311</v>
      </c>
      <c r="H53" s="20" t="n">
        <v>2.72660605</v>
      </c>
      <c r="I53" s="18" t="s">
        <v>349</v>
      </c>
      <c r="J53" s="20" t="s">
        <v>349</v>
      </c>
      <c r="K53" s="18" t="n">
        <v>0.39920837</v>
      </c>
      <c r="L53" s="20" t="n">
        <v>0.3958017</v>
      </c>
      <c r="M53" s="18" t="n">
        <v>0</v>
      </c>
      <c r="N53" s="20" t="n">
        <v>0</v>
      </c>
      <c r="O53" s="18" t="n">
        <v>0</v>
      </c>
      <c r="P53" s="20" t="n">
        <v>0</v>
      </c>
      <c r="Q53" s="18" t="n">
        <v>5.94186822</v>
      </c>
      <c r="R53" s="20" t="n">
        <v>1.16240023</v>
      </c>
    </row>
    <row r="54" spans="1:18">
      <c r="A54" s="15" t="s">
        <v>396</v>
      </c>
      <c r="B54" s="17" t="n">
        <v>2266</v>
      </c>
      <c r="C54" s="18">
        <f>(1925.0/B54*100)</f>
        <v/>
      </c>
      <c r="D54" s="19" t="n">
        <v>341</v>
      </c>
      <c r="E54" s="18" t="n">
        <v>41.29312225</v>
      </c>
      <c r="F54" s="20" t="n">
        <v>3.01869347</v>
      </c>
      <c r="G54" s="18" t="n">
        <v>44.01066613</v>
      </c>
      <c r="H54" s="20" t="n">
        <v>3.10663113</v>
      </c>
      <c r="I54" s="18" t="s">
        <v>349</v>
      </c>
      <c r="J54" s="20" t="s">
        <v>349</v>
      </c>
      <c r="K54" s="18" t="n">
        <v>2.73929736</v>
      </c>
      <c r="L54" s="20" t="n">
        <v>1.05814341</v>
      </c>
      <c r="M54" s="18" t="n">
        <v>0</v>
      </c>
      <c r="N54" s="20" t="n">
        <v>0</v>
      </c>
      <c r="O54" s="18" t="n">
        <v>0</v>
      </c>
      <c r="P54" s="20" t="n">
        <v>0</v>
      </c>
      <c r="Q54" s="18" t="n">
        <v>11.95691426</v>
      </c>
      <c r="R54" s="20" t="n">
        <v>2.19883257</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5.43298009</v>
      </c>
      <c r="F56" s="20" t="n">
        <v>1.46643463</v>
      </c>
      <c r="G56" s="18" t="n">
        <v>93.80822409</v>
      </c>
      <c r="H56" s="20" t="n">
        <v>1.52215704</v>
      </c>
      <c r="I56" s="18" t="s">
        <v>349</v>
      </c>
      <c r="J56" s="20" t="s">
        <v>349</v>
      </c>
      <c r="K56" s="18" t="n">
        <v>0</v>
      </c>
      <c r="L56" s="20" t="n">
        <v>0</v>
      </c>
      <c r="M56" s="18" t="n">
        <v>0</v>
      </c>
      <c r="N56" s="20" t="n">
        <v>0</v>
      </c>
      <c r="O56" s="18" t="n">
        <v>0</v>
      </c>
      <c r="P56" s="20" t="n">
        <v>0</v>
      </c>
      <c r="Q56" s="18" t="n">
        <v>0.75879581</v>
      </c>
      <c r="R56" s="20" t="n">
        <v>0.44358858</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(2904.0/B61*100)</f>
        <v/>
      </c>
      <c r="D61" s="19" t="n">
        <v>420</v>
      </c>
      <c r="E61" s="18" t="n">
        <v>16.01611486</v>
      </c>
      <c r="F61" s="20" t="n">
        <v>2.06955149</v>
      </c>
      <c r="G61" s="18" t="n">
        <v>83.31108721</v>
      </c>
      <c r="H61" s="20" t="n">
        <v>2.10285884</v>
      </c>
      <c r="I61" s="18" t="s">
        <v>349</v>
      </c>
      <c r="J61" s="20" t="s">
        <v>349</v>
      </c>
      <c r="K61" s="18" t="n">
        <v>0</v>
      </c>
      <c r="L61" s="20" t="n">
        <v>0</v>
      </c>
      <c r="M61" s="18" t="n">
        <v>0</v>
      </c>
      <c r="N61" s="20" t="n">
        <v>0</v>
      </c>
      <c r="O61" s="18" t="n">
        <v>0</v>
      </c>
      <c r="P61" s="20" t="n">
        <v>0</v>
      </c>
      <c r="Q61" s="18" t="n">
        <v>0.67279794</v>
      </c>
      <c r="R61" s="20" t="n">
        <v>0.37277264</v>
      </c>
    </row>
    <row r="62" spans="1:18">
      <c r="A62" s="15" t="s">
        <v>404</v>
      </c>
      <c r="B62" s="17" t="n">
        <v>2246</v>
      </c>
      <c r="C62" s="18">
        <f>(1946.0/B62*100)</f>
        <v/>
      </c>
      <c r="D62" s="19" t="n">
        <v>300</v>
      </c>
      <c r="E62" s="18" t="n">
        <v>6.99377828</v>
      </c>
      <c r="F62" s="20" t="n">
        <v>1.35262835</v>
      </c>
      <c r="G62" s="18" t="n">
        <v>93.00622172</v>
      </c>
      <c r="H62" s="20" t="n">
        <v>1.35262835</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(2538.0/B66*100)</f>
        <v/>
      </c>
      <c r="D66" s="19" t="n">
        <v>356</v>
      </c>
      <c r="E66" s="18" t="n">
        <v>19.01258409</v>
      </c>
      <c r="F66" s="20" t="n">
        <v>2.13402754</v>
      </c>
      <c r="G66" s="18" t="n">
        <v>71.93684542</v>
      </c>
      <c r="H66" s="20" t="n">
        <v>2.44296845</v>
      </c>
      <c r="I66" s="18" t="s">
        <v>349</v>
      </c>
      <c r="J66" s="20" t="s">
        <v>349</v>
      </c>
      <c r="K66" s="18" t="n">
        <v>0</v>
      </c>
      <c r="L66" s="20" t="n">
        <v>0</v>
      </c>
      <c r="M66" s="18" t="n">
        <v>0</v>
      </c>
      <c r="N66" s="20" t="n">
        <v>0</v>
      </c>
      <c r="O66" s="18" t="n">
        <v>0</v>
      </c>
      <c r="P66" s="20" t="n">
        <v>0</v>
      </c>
      <c r="Q66" s="18" t="n">
        <v>9.05057049</v>
      </c>
      <c r="R66" s="20" t="n">
        <v>1.51975679</v>
      </c>
    </row>
    <row r="67" spans="1:18">
      <c r="A67" s="15" t="s">
        <v>409</v>
      </c>
      <c r="B67" s="17" t="n">
        <v>3511</v>
      </c>
      <c r="C67" s="18">
        <f>(3091.0/B67*100)</f>
        <v/>
      </c>
      <c r="D67" s="19" t="n">
        <v>420</v>
      </c>
      <c r="E67" s="18" t="n">
        <v>33.70615567</v>
      </c>
      <c r="F67" s="20" t="n">
        <v>2.28600079</v>
      </c>
      <c r="G67" s="18" t="n">
        <v>61.9910521</v>
      </c>
      <c r="H67" s="20" t="n">
        <v>2.31606055</v>
      </c>
      <c r="I67" s="18" t="s">
        <v>349</v>
      </c>
      <c r="J67" s="20" t="s">
        <v>349</v>
      </c>
      <c r="K67" s="18" t="n">
        <v>0</v>
      </c>
      <c r="L67" s="20" t="n">
        <v>0</v>
      </c>
      <c r="M67" s="18" t="n">
        <v>0</v>
      </c>
      <c r="N67" s="20" t="n">
        <v>0</v>
      </c>
      <c r="O67" s="18" t="n">
        <v>0</v>
      </c>
      <c r="P67" s="20" t="n">
        <v>0</v>
      </c>
      <c r="Q67" s="18" t="n">
        <v>4.30279223</v>
      </c>
      <c r="R67" s="20" t="n">
        <v>1.05205331</v>
      </c>
    </row>
    <row r="68" spans="1:18">
      <c r="A68" s="15" t="s">
        <v>410</v>
      </c>
      <c r="B68" s="17" t="n">
        <v>6049</v>
      </c>
      <c r="C68" s="18">
        <f>(5047.0/B68*100)</f>
        <v/>
      </c>
      <c r="D68" s="19" t="n">
        <v>1002</v>
      </c>
      <c r="E68" s="18" t="n">
        <v>32.86293258</v>
      </c>
      <c r="F68" s="20" t="n">
        <v>1.56804822</v>
      </c>
      <c r="G68" s="18" t="n">
        <v>59.33115471</v>
      </c>
      <c r="H68" s="20" t="n">
        <v>1.61240581</v>
      </c>
      <c r="I68" s="18" t="s">
        <v>349</v>
      </c>
      <c r="J68" s="20" t="s">
        <v>349</v>
      </c>
      <c r="K68" s="18" t="n">
        <v>1.22148418</v>
      </c>
      <c r="L68" s="20" t="n">
        <v>0.36979989</v>
      </c>
      <c r="M68" s="18" t="n">
        <v>0</v>
      </c>
      <c r="N68" s="20" t="n">
        <v>0</v>
      </c>
      <c r="O68" s="18" t="n">
        <v>0</v>
      </c>
      <c r="P68" s="20" t="n">
        <v>0</v>
      </c>
      <c r="Q68" s="18" t="n">
        <v>6.58442854</v>
      </c>
      <c r="R68" s="20" t="n">
        <v>0.89597561</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(2536.0/B70*100)</f>
        <v/>
      </c>
      <c r="D70" s="19" t="n">
        <v>393</v>
      </c>
      <c r="E70" s="18" t="n">
        <v>14.74891481</v>
      </c>
      <c r="F70" s="20" t="n">
        <v>2.8072449</v>
      </c>
      <c r="G70" s="18" t="n">
        <v>84.47090156</v>
      </c>
      <c r="H70" s="20" t="n">
        <v>2.77194139</v>
      </c>
      <c r="I70" s="18" t="s">
        <v>349</v>
      </c>
      <c r="J70" s="20" t="s">
        <v>349</v>
      </c>
      <c r="K70" s="18" t="n">
        <v>0</v>
      </c>
      <c r="L70" s="20" t="n">
        <v>0</v>
      </c>
      <c r="M70" s="18" t="n">
        <v>0</v>
      </c>
      <c r="N70" s="20" t="n">
        <v>0</v>
      </c>
      <c r="O70" s="18" t="n">
        <v>0</v>
      </c>
      <c r="P70" s="20" t="n">
        <v>0</v>
      </c>
      <c r="Q70" s="18" t="n">
        <v>0.78018364</v>
      </c>
      <c r="R70" s="20" t="n">
        <v>0.34633998</v>
      </c>
    </row>
    <row r="71" spans="1:18">
      <c r="A71" s="15" t="s">
        <v>413</v>
      </c>
      <c r="B71" s="17" t="n">
        <v>3142</v>
      </c>
      <c r="C71" s="18">
        <f>(2754.0/B71*100)</f>
        <v/>
      </c>
      <c r="D71" s="19" t="n">
        <v>388</v>
      </c>
      <c r="E71" s="18" t="n">
        <v>8.14693793</v>
      </c>
      <c r="F71" s="20" t="n">
        <v>1.37788081</v>
      </c>
      <c r="G71" s="18" t="n">
        <v>91.70098790999999</v>
      </c>
      <c r="H71" s="20" t="n">
        <v>1.39727131</v>
      </c>
      <c r="I71" s="18" t="s">
        <v>349</v>
      </c>
      <c r="J71" s="20" t="s">
        <v>349</v>
      </c>
      <c r="K71" s="18" t="n">
        <v>0.15207417</v>
      </c>
      <c r="L71" s="20" t="n">
        <v>0.15462322</v>
      </c>
      <c r="M71" s="18" t="n">
        <v>0</v>
      </c>
      <c r="N71" s="20" t="n">
        <v>0</v>
      </c>
      <c r="O71" s="18" t="n">
        <v>0</v>
      </c>
      <c r="P71" s="20" t="n">
        <v>0</v>
      </c>
      <c r="Q71" s="18" t="n">
        <v>0</v>
      </c>
      <c r="R71" s="20" t="n">
        <v>0</v>
      </c>
    </row>
    <row r="72" spans="1:18">
      <c r="A72" s="15" t="s">
        <v>414</v>
      </c>
      <c r="B72" s="17" t="n">
        <v>3889</v>
      </c>
      <c r="C72" s="18">
        <f>(3420.0/B72*100)</f>
        <v/>
      </c>
      <c r="D72" s="19" t="n">
        <v>469</v>
      </c>
      <c r="E72" s="18" t="n">
        <v>10.28261206</v>
      </c>
      <c r="F72" s="20" t="n">
        <v>1.41733758</v>
      </c>
      <c r="G72" s="18" t="n">
        <v>88.33646661</v>
      </c>
      <c r="H72" s="20" t="n">
        <v>1.56531243</v>
      </c>
      <c r="I72" s="18" t="s">
        <v>349</v>
      </c>
      <c r="J72" s="20" t="s">
        <v>349</v>
      </c>
      <c r="K72" s="18" t="n">
        <v>0</v>
      </c>
      <c r="L72" s="20" t="n">
        <v>0</v>
      </c>
      <c r="M72" s="18" t="n">
        <v>0</v>
      </c>
      <c r="N72" s="20" t="n">
        <v>0</v>
      </c>
      <c r="O72" s="18" t="n">
        <v>0</v>
      </c>
      <c r="P72" s="20" t="n">
        <v>0</v>
      </c>
      <c r="Q72" s="18" t="n">
        <v>1.38092133</v>
      </c>
      <c r="R72" s="20" t="n">
        <v>0.57025785</v>
      </c>
    </row>
    <row r="73" spans="1:18">
      <c r="A73" s="15" t="s">
        <v>415</v>
      </c>
      <c r="B73" s="17" t="n">
        <v>3597</v>
      </c>
      <c r="C73" s="18">
        <f>(3165.0/B73*100)</f>
        <v/>
      </c>
      <c r="D73" s="19" t="n">
        <v>432</v>
      </c>
      <c r="E73" s="18" t="n">
        <v>33.78732772</v>
      </c>
      <c r="F73" s="20" t="n">
        <v>2.5032203</v>
      </c>
      <c r="G73" s="18" t="n">
        <v>64.69736321000001</v>
      </c>
      <c r="H73" s="20" t="n">
        <v>2.62798763</v>
      </c>
      <c r="I73" s="18" t="s">
        <v>349</v>
      </c>
      <c r="J73" s="20" t="s">
        <v>349</v>
      </c>
      <c r="K73" s="18" t="n">
        <v>0</v>
      </c>
      <c r="L73" s="20" t="n">
        <v>0</v>
      </c>
      <c r="M73" s="18" t="n">
        <v>0</v>
      </c>
      <c r="N73" s="20" t="n">
        <v>0</v>
      </c>
      <c r="O73" s="18" t="n">
        <v>0</v>
      </c>
      <c r="P73" s="20" t="n">
        <v>0</v>
      </c>
      <c r="Q73" s="18" t="n">
        <v>1.51530907</v>
      </c>
      <c r="R73" s="20" t="n">
        <v>0.6522002099999999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(2130.0/B75*100)</f>
        <v/>
      </c>
      <c r="D75" s="19" t="n">
        <v>276</v>
      </c>
      <c r="E75" s="18" t="n">
        <v>35.74456483</v>
      </c>
      <c r="F75" s="20" t="n">
        <v>2.93713341</v>
      </c>
      <c r="G75" s="18" t="n">
        <v>56.3910807</v>
      </c>
      <c r="H75" s="20" t="n">
        <v>3.09452934</v>
      </c>
      <c r="I75" s="18" t="s">
        <v>349</v>
      </c>
      <c r="J75" s="20" t="s">
        <v>349</v>
      </c>
      <c r="K75" s="18" t="n">
        <v>0.98639682</v>
      </c>
      <c r="L75" s="20" t="n">
        <v>0.59970123</v>
      </c>
      <c r="M75" s="18" t="n">
        <v>0</v>
      </c>
      <c r="N75" s="20" t="n">
        <v>0</v>
      </c>
      <c r="O75" s="18" t="n">
        <v>0</v>
      </c>
      <c r="P75" s="20" t="n">
        <v>0</v>
      </c>
      <c r="Q75" s="18" t="n">
        <v>6.87795766</v>
      </c>
      <c r="R75" s="20" t="n">
        <v>1.57139224</v>
      </c>
    </row>
    <row r="76" spans="1:18">
      <c r="A76" s="15" t="s">
        <v>418</v>
      </c>
      <c r="B76" s="17" t="n">
        <v>7052</v>
      </c>
      <c r="C76" s="18">
        <f>(6184.0/B76*100)</f>
        <v/>
      </c>
      <c r="D76" s="19" t="n">
        <v>868</v>
      </c>
      <c r="E76" s="18" t="n">
        <v>32.00686778</v>
      </c>
      <c r="F76" s="20" t="n">
        <v>2.01716167</v>
      </c>
      <c r="G76" s="18" t="n">
        <v>62.84042853</v>
      </c>
      <c r="H76" s="20" t="n">
        <v>2.0298875</v>
      </c>
      <c r="I76" s="18" t="s">
        <v>349</v>
      </c>
      <c r="J76" s="20" t="s">
        <v>349</v>
      </c>
      <c r="K76" s="18" t="n">
        <v>0.29179491</v>
      </c>
      <c r="L76" s="20" t="n">
        <v>0.194309</v>
      </c>
      <c r="M76" s="18" t="n">
        <v>0</v>
      </c>
      <c r="N76" s="20" t="n">
        <v>0</v>
      </c>
      <c r="O76" s="18" t="n">
        <v>0</v>
      </c>
      <c r="P76" s="20" t="n">
        <v>0</v>
      </c>
      <c r="Q76" s="18" t="n">
        <v>4.86090878</v>
      </c>
      <c r="R76" s="20" t="n">
        <v>0.88428516</v>
      </c>
    </row>
    <row r="77" spans="1:18">
      <c r="A77" s="15" t="s">
        <v>419</v>
      </c>
      <c r="B77" s="17" t="n">
        <v>2908</v>
      </c>
      <c r="C77" s="18">
        <f>(2541.0/B77*100)</f>
        <v/>
      </c>
      <c r="D77" s="19" t="n">
        <v>367</v>
      </c>
      <c r="E77" s="18" t="n">
        <v>18.678831</v>
      </c>
      <c r="F77" s="20" t="n">
        <v>2.31960453</v>
      </c>
      <c r="G77" s="18" t="n">
        <v>73.09883047</v>
      </c>
      <c r="H77" s="20" t="n">
        <v>2.61959626</v>
      </c>
      <c r="I77" s="18" t="s">
        <v>349</v>
      </c>
      <c r="J77" s="20" t="s">
        <v>349</v>
      </c>
      <c r="K77" s="18" t="n">
        <v>0.6847193499999999</v>
      </c>
      <c r="L77" s="20" t="n">
        <v>0.5760752099999999</v>
      </c>
      <c r="M77" s="18" t="n">
        <v>0</v>
      </c>
      <c r="N77" s="20" t="n">
        <v>0</v>
      </c>
      <c r="O77" s="18" t="n">
        <v>0</v>
      </c>
      <c r="P77" s="20" t="n">
        <v>0</v>
      </c>
      <c r="Q77" s="18" t="n">
        <v>7.53761918</v>
      </c>
      <c r="R77" s="20" t="n">
        <v>1.42642242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(3655.0/B81*100)</f>
        <v/>
      </c>
      <c r="D81" s="19" t="n">
        <v>508</v>
      </c>
      <c r="E81" s="18" t="n">
        <v>18.88029488</v>
      </c>
      <c r="F81" s="20" t="n">
        <v>2.10670794</v>
      </c>
      <c r="G81" s="18" t="n">
        <v>79.82498769</v>
      </c>
      <c r="H81" s="20" t="n">
        <v>2.16349882</v>
      </c>
      <c r="I81" s="18" t="s">
        <v>349</v>
      </c>
      <c r="J81" s="20" t="s">
        <v>349</v>
      </c>
      <c r="K81" s="18" t="n">
        <v>0</v>
      </c>
      <c r="L81" s="20" t="n">
        <v>0</v>
      </c>
      <c r="M81" s="18" t="n">
        <v>0</v>
      </c>
      <c r="N81" s="20" t="n">
        <v>0</v>
      </c>
      <c r="O81" s="18" t="n">
        <v>0</v>
      </c>
      <c r="P81" s="20" t="n">
        <v>0</v>
      </c>
      <c r="Q81" s="18" t="n">
        <v>1.29471743</v>
      </c>
      <c r="R81" s="20" t="n">
        <v>0.60451432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(6420.0/B7*100)</f>
        <v/>
      </c>
      <c r="D7" s="19" t="n">
        <v>947</v>
      </c>
      <c r="E7" s="18" t="n">
        <v>36.17804471</v>
      </c>
      <c r="F7" s="20" t="n">
        <v>1.67351169</v>
      </c>
      <c r="G7" s="18" t="n">
        <v>62.23566339</v>
      </c>
      <c r="H7" s="20" t="n">
        <v>1.65469701</v>
      </c>
      <c r="I7" s="18" t="s">
        <v>349</v>
      </c>
      <c r="J7" s="20" t="s">
        <v>349</v>
      </c>
      <c r="K7" s="18" t="n">
        <v>0.18562722</v>
      </c>
      <c r="L7" s="20" t="n">
        <v>0.16570825</v>
      </c>
      <c r="M7" s="18" t="n">
        <v>0</v>
      </c>
      <c r="N7" s="20" t="n">
        <v>0</v>
      </c>
      <c r="O7" s="18" t="n">
        <v>0</v>
      </c>
      <c r="P7" s="20" t="n">
        <v>0</v>
      </c>
      <c r="Q7" s="18" t="n">
        <v>1.40066468</v>
      </c>
      <c r="R7" s="20" t="n">
        <v>0.33195762</v>
      </c>
    </row>
    <row r="8" spans="1:18">
      <c r="A8" s="15" t="s">
        <v>350</v>
      </c>
      <c r="B8" s="17" t="n">
        <v>3564</v>
      </c>
      <c r="C8" s="18">
        <f>(3116.0/B8*100)</f>
        <v/>
      </c>
      <c r="D8" s="19" t="n">
        <v>448</v>
      </c>
      <c r="E8" s="18" t="n">
        <v>33.4970269</v>
      </c>
      <c r="F8" s="20" t="n">
        <v>3.15249028</v>
      </c>
      <c r="G8" s="18" t="n">
        <v>64.98186943</v>
      </c>
      <c r="H8" s="20" t="n">
        <v>3.25048637</v>
      </c>
      <c r="I8" s="18" t="s">
        <v>349</v>
      </c>
      <c r="J8" s="20" t="s">
        <v>349</v>
      </c>
      <c r="K8" s="18" t="n">
        <v>0</v>
      </c>
      <c r="L8" s="20" t="n">
        <v>0</v>
      </c>
      <c r="M8" s="18" t="n">
        <v>0</v>
      </c>
      <c r="N8" s="20" t="n">
        <v>0</v>
      </c>
      <c r="O8" s="18" t="n">
        <v>0</v>
      </c>
      <c r="P8" s="20" t="n">
        <v>0</v>
      </c>
      <c r="Q8" s="18" t="n">
        <v>1.52110367</v>
      </c>
      <c r="R8" s="20" t="n">
        <v>0.63321809</v>
      </c>
    </row>
    <row r="9" spans="1:18">
      <c r="A9" s="15" t="s">
        <v>351</v>
      </c>
      <c r="B9" s="17" t="n">
        <v>4899</v>
      </c>
      <c r="C9" s="18">
        <f>(4165.0/B9*100)</f>
        <v/>
      </c>
      <c r="D9" s="19" t="n">
        <v>734</v>
      </c>
      <c r="E9" s="18" t="n">
        <v>38.73154058</v>
      </c>
      <c r="F9" s="20" t="n">
        <v>2.01922421</v>
      </c>
      <c r="G9" s="18" t="n">
        <v>57.98374138</v>
      </c>
      <c r="H9" s="20" t="n">
        <v>2.3570595</v>
      </c>
      <c r="I9" s="18" t="s">
        <v>349</v>
      </c>
      <c r="J9" s="20" t="s">
        <v>349</v>
      </c>
      <c r="K9" s="18" t="n">
        <v>0.59365354</v>
      </c>
      <c r="L9" s="20" t="n">
        <v>0.26662903</v>
      </c>
      <c r="M9" s="18" t="n">
        <v>0</v>
      </c>
      <c r="N9" s="20" t="n">
        <v>0</v>
      </c>
      <c r="O9" s="18" t="n">
        <v>0</v>
      </c>
      <c r="P9" s="20" t="n">
        <v>0</v>
      </c>
      <c r="Q9" s="18" t="n">
        <v>2.6910645</v>
      </c>
      <c r="R9" s="20" t="n">
        <v>0.75304449</v>
      </c>
    </row>
    <row r="10" spans="1:18">
      <c r="A10" s="15" t="s">
        <v>352</v>
      </c>
      <c r="B10" s="17" t="n">
        <v>10036</v>
      </c>
      <c r="C10" s="18">
        <f>(8804.0/B10*100)</f>
        <v/>
      </c>
      <c r="D10" s="19" t="n">
        <v>1232</v>
      </c>
      <c r="E10" s="18" t="n">
        <v>31.58155152</v>
      </c>
      <c r="F10" s="20" t="n">
        <v>1.4395967</v>
      </c>
      <c r="G10" s="18" t="n">
        <v>67.66327051</v>
      </c>
      <c r="H10" s="20" t="n">
        <v>1.4712293</v>
      </c>
      <c r="I10" s="18" t="s">
        <v>349</v>
      </c>
      <c r="J10" s="20" t="s">
        <v>349</v>
      </c>
      <c r="K10" s="18" t="n">
        <v>0.23342067</v>
      </c>
      <c r="L10" s="20" t="n">
        <v>0.10539177</v>
      </c>
      <c r="M10" s="18" t="n">
        <v>0</v>
      </c>
      <c r="N10" s="20" t="n">
        <v>0</v>
      </c>
      <c r="O10" s="18" t="n">
        <v>0</v>
      </c>
      <c r="P10" s="20" t="n">
        <v>0</v>
      </c>
      <c r="Q10" s="18" t="n">
        <v>0.52175731</v>
      </c>
      <c r="R10" s="20" t="n">
        <v>0.21788687</v>
      </c>
    </row>
    <row r="11" spans="1:18">
      <c r="A11" s="15" t="s">
        <v>353</v>
      </c>
      <c r="B11" s="17" t="n">
        <v>3553</v>
      </c>
      <c r="C11" s="18">
        <f>(3132.0/B11*100)</f>
        <v/>
      </c>
      <c r="D11" s="19" t="n">
        <v>421</v>
      </c>
      <c r="E11" s="18" t="n">
        <v>49.01622103</v>
      </c>
      <c r="F11" s="20" t="n">
        <v>2.73328257</v>
      </c>
      <c r="G11" s="18" t="n">
        <v>48.36410974</v>
      </c>
      <c r="H11" s="20" t="n">
        <v>2.66718447</v>
      </c>
      <c r="I11" s="18" t="s">
        <v>349</v>
      </c>
      <c r="J11" s="20" t="s">
        <v>349</v>
      </c>
      <c r="K11" s="18" t="n">
        <v>0</v>
      </c>
      <c r="L11" s="20" t="n">
        <v>0</v>
      </c>
      <c r="M11" s="18" t="n">
        <v>0</v>
      </c>
      <c r="N11" s="20" t="n">
        <v>0</v>
      </c>
      <c r="O11" s="18" t="n">
        <v>0</v>
      </c>
      <c r="P11" s="20" t="n">
        <v>0</v>
      </c>
      <c r="Q11" s="18" t="n">
        <v>2.61966924</v>
      </c>
      <c r="R11" s="20" t="n">
        <v>0.84532743</v>
      </c>
    </row>
    <row r="12" spans="1:18">
      <c r="A12" s="15" t="s">
        <v>354</v>
      </c>
      <c r="B12" s="17" t="n">
        <v>3472</v>
      </c>
      <c r="C12" s="18">
        <f>(2996.0/B12*100)</f>
        <v/>
      </c>
      <c r="D12" s="19" t="n">
        <v>476</v>
      </c>
      <c r="E12" s="18" t="n">
        <v>32.97024175</v>
      </c>
      <c r="F12" s="20" t="n">
        <v>2.47902246</v>
      </c>
      <c r="G12" s="18" t="n">
        <v>65.37261866999999</v>
      </c>
      <c r="H12" s="20" t="n">
        <v>2.73603533</v>
      </c>
      <c r="I12" s="18" t="s">
        <v>349</v>
      </c>
      <c r="J12" s="20" t="s">
        <v>349</v>
      </c>
      <c r="K12" s="18" t="n">
        <v>0</v>
      </c>
      <c r="L12" s="20" t="n">
        <v>0</v>
      </c>
      <c r="M12" s="18" t="n">
        <v>0</v>
      </c>
      <c r="N12" s="20" t="n">
        <v>0</v>
      </c>
      <c r="O12" s="18" t="n">
        <v>0</v>
      </c>
      <c r="P12" s="20" t="n">
        <v>0</v>
      </c>
      <c r="Q12" s="18" t="n">
        <v>1.65713957</v>
      </c>
      <c r="R12" s="20" t="n">
        <v>0.82789558</v>
      </c>
    </row>
    <row r="13" spans="1:18">
      <c r="A13" s="15" t="s">
        <v>355</v>
      </c>
      <c r="B13" s="17" t="n">
        <v>3559</v>
      </c>
      <c r="C13" s="18">
        <f>(2961.0/B13*100)</f>
        <v/>
      </c>
      <c r="D13" s="19" t="n">
        <v>598</v>
      </c>
      <c r="E13" s="18" t="n">
        <v>33.13882275</v>
      </c>
      <c r="F13" s="20" t="n">
        <v>2.42215976</v>
      </c>
      <c r="G13" s="18" t="n">
        <v>65.16741159999999</v>
      </c>
      <c r="H13" s="20" t="n">
        <v>2.5108042</v>
      </c>
      <c r="I13" s="18" t="s">
        <v>349</v>
      </c>
      <c r="J13" s="20" t="s">
        <v>349</v>
      </c>
      <c r="K13" s="18" t="n">
        <v>0.27892813</v>
      </c>
      <c r="L13" s="20" t="n">
        <v>0.18961647</v>
      </c>
      <c r="M13" s="18" t="n">
        <v>0</v>
      </c>
      <c r="N13" s="20" t="n">
        <v>0</v>
      </c>
      <c r="O13" s="18" t="n">
        <v>0</v>
      </c>
      <c r="P13" s="20" t="n">
        <v>0</v>
      </c>
      <c r="Q13" s="18" t="n">
        <v>1.41483752</v>
      </c>
      <c r="R13" s="20" t="n">
        <v>0.60237573</v>
      </c>
    </row>
    <row r="14" spans="1:18">
      <c r="A14" s="15" t="s">
        <v>356</v>
      </c>
      <c r="B14" s="17" t="n">
        <v>2799</v>
      </c>
      <c r="C14" s="18">
        <f>(2450.0/B14*100)</f>
        <v/>
      </c>
      <c r="D14" s="19" t="n">
        <v>349</v>
      </c>
      <c r="E14" s="18" t="n">
        <v>31.39935334</v>
      </c>
      <c r="F14" s="20" t="n">
        <v>2.83347484</v>
      </c>
      <c r="G14" s="18" t="n">
        <v>67.28362853</v>
      </c>
      <c r="H14" s="20" t="n">
        <v>2.84605121</v>
      </c>
      <c r="I14" s="18" t="s">
        <v>349</v>
      </c>
      <c r="J14" s="20" t="s">
        <v>349</v>
      </c>
      <c r="K14" s="18" t="n">
        <v>0</v>
      </c>
      <c r="L14" s="20" t="n">
        <v>0</v>
      </c>
      <c r="M14" s="18" t="n">
        <v>0</v>
      </c>
      <c r="N14" s="20" t="n">
        <v>0</v>
      </c>
      <c r="O14" s="18" t="n">
        <v>0</v>
      </c>
      <c r="P14" s="20" t="n">
        <v>0</v>
      </c>
      <c r="Q14" s="18" t="n">
        <v>1.31701813</v>
      </c>
      <c r="R14" s="20" t="n">
        <v>0.89949292</v>
      </c>
    </row>
    <row r="15" spans="1:18">
      <c r="A15" s="15" t="s">
        <v>357</v>
      </c>
      <c r="B15" s="17" t="n">
        <v>3019</v>
      </c>
      <c r="C15" s="18">
        <f>(2628.0/B15*100)</f>
        <v/>
      </c>
      <c r="D15" s="19" t="n">
        <v>391</v>
      </c>
      <c r="E15" s="18" t="n">
        <v>39.65564392</v>
      </c>
      <c r="F15" s="20" t="n">
        <v>2.78129422</v>
      </c>
      <c r="G15" s="18" t="n">
        <v>58.14387781</v>
      </c>
      <c r="H15" s="20" t="n">
        <v>2.89569405</v>
      </c>
      <c r="I15" s="18" t="s">
        <v>349</v>
      </c>
      <c r="J15" s="20" t="s">
        <v>349</v>
      </c>
      <c r="K15" s="18" t="n">
        <v>0.94484011</v>
      </c>
      <c r="L15" s="20" t="n">
        <v>0.53901492</v>
      </c>
      <c r="M15" s="18" t="n">
        <v>0</v>
      </c>
      <c r="N15" s="20" t="n">
        <v>0</v>
      </c>
      <c r="O15" s="18" t="n">
        <v>0</v>
      </c>
      <c r="P15" s="20" t="n">
        <v>0</v>
      </c>
      <c r="Q15" s="18" t="n">
        <v>1.25563816</v>
      </c>
      <c r="R15" s="20" t="n">
        <v>0.55781645</v>
      </c>
    </row>
    <row r="16" spans="1:18">
      <c r="A16" s="15" t="s">
        <v>358</v>
      </c>
      <c r="B16" s="17" t="n">
        <v>2997</v>
      </c>
      <c r="C16" s="18">
        <f>(2643.0/B16*100)</f>
        <v/>
      </c>
      <c r="D16" s="19" t="n">
        <v>354</v>
      </c>
      <c r="E16" s="18" t="n">
        <v>28.43889351</v>
      </c>
      <c r="F16" s="20" t="n">
        <v>2.65654695</v>
      </c>
      <c r="G16" s="18" t="n">
        <v>68.53729087000001</v>
      </c>
      <c r="H16" s="20" t="n">
        <v>2.73921722</v>
      </c>
      <c r="I16" s="18" t="s">
        <v>349</v>
      </c>
      <c r="J16" s="20" t="s">
        <v>349</v>
      </c>
      <c r="K16" s="18" t="n">
        <v>1.09129436</v>
      </c>
      <c r="L16" s="20" t="n">
        <v>0.50456123</v>
      </c>
      <c r="M16" s="18" t="n">
        <v>0</v>
      </c>
      <c r="N16" s="20" t="n">
        <v>0</v>
      </c>
      <c r="O16" s="18" t="n">
        <v>0</v>
      </c>
      <c r="P16" s="20" t="n">
        <v>0</v>
      </c>
      <c r="Q16" s="18" t="n">
        <v>1.93252126</v>
      </c>
      <c r="R16" s="20" t="n">
        <v>0.75673364</v>
      </c>
    </row>
    <row r="17" spans="1:18">
      <c r="A17" s="15" t="s">
        <v>359</v>
      </c>
      <c r="B17" s="17" t="n">
        <v>3307</v>
      </c>
      <c r="C17" s="18">
        <f>(2841.0/B17*100)</f>
        <v/>
      </c>
      <c r="D17" s="19" t="n">
        <v>466</v>
      </c>
      <c r="E17" s="18" t="n">
        <v>31.96197371</v>
      </c>
      <c r="F17" s="20" t="n">
        <v>2.15592624</v>
      </c>
      <c r="G17" s="18" t="n">
        <v>63.11919412</v>
      </c>
      <c r="H17" s="20" t="n">
        <v>2.50858692</v>
      </c>
      <c r="I17" s="18" t="s">
        <v>349</v>
      </c>
      <c r="J17" s="20" t="s">
        <v>349</v>
      </c>
      <c r="K17" s="18" t="n">
        <v>0.9318651</v>
      </c>
      <c r="L17" s="20" t="n">
        <v>0.27530816</v>
      </c>
      <c r="M17" s="18" t="n">
        <v>0</v>
      </c>
      <c r="N17" s="20" t="n">
        <v>0</v>
      </c>
      <c r="O17" s="18" t="n">
        <v>0</v>
      </c>
      <c r="P17" s="20" t="n">
        <v>0</v>
      </c>
      <c r="Q17" s="18" t="n">
        <v>3.98696707</v>
      </c>
      <c r="R17" s="20" t="n">
        <v>0.88191969</v>
      </c>
    </row>
    <row r="18" spans="1:18">
      <c r="A18" s="15" t="s">
        <v>360</v>
      </c>
      <c r="B18" s="17" t="n">
        <v>2826</v>
      </c>
      <c r="C18" s="18">
        <f>(2477.0/B18*100)</f>
        <v/>
      </c>
      <c r="D18" s="19" t="n">
        <v>349</v>
      </c>
      <c r="E18" s="18" t="n">
        <v>44.7386738</v>
      </c>
      <c r="F18" s="20" t="n">
        <v>3.29915239</v>
      </c>
      <c r="G18" s="18" t="n">
        <v>52.98081992</v>
      </c>
      <c r="H18" s="20" t="n">
        <v>3.45884662</v>
      </c>
      <c r="I18" s="18" t="s">
        <v>349</v>
      </c>
      <c r="J18" s="20" t="s">
        <v>349</v>
      </c>
      <c r="K18" s="18" t="n">
        <v>0.51563346</v>
      </c>
      <c r="L18" s="20" t="n">
        <v>0.5157856199999999</v>
      </c>
      <c r="M18" s="18" t="n">
        <v>0</v>
      </c>
      <c r="N18" s="20" t="n">
        <v>0</v>
      </c>
      <c r="O18" s="18" t="n">
        <v>0</v>
      </c>
      <c r="P18" s="20" t="n">
        <v>0</v>
      </c>
      <c r="Q18" s="18" t="n">
        <v>1.76487281</v>
      </c>
      <c r="R18" s="20" t="n">
        <v>0.9493501</v>
      </c>
    </row>
    <row r="19" spans="1:18">
      <c r="A19" s="15" t="s">
        <v>361</v>
      </c>
      <c r="B19" s="17" t="n">
        <v>2808</v>
      </c>
      <c r="C19" s="18">
        <f>(2454.0/B19*100)</f>
        <v/>
      </c>
      <c r="D19" s="19" t="n">
        <v>354</v>
      </c>
      <c r="E19" s="18" t="n">
        <v>42.33068301</v>
      </c>
      <c r="F19" s="20" t="n">
        <v>2.72049447</v>
      </c>
      <c r="G19" s="18" t="n">
        <v>57.44805321</v>
      </c>
      <c r="H19" s="20" t="n">
        <v>2.67969613</v>
      </c>
      <c r="I19" s="18" t="s">
        <v>349</v>
      </c>
      <c r="J19" s="20" t="s">
        <v>349</v>
      </c>
      <c r="K19" s="18" t="n">
        <v>0</v>
      </c>
      <c r="L19" s="20" t="n">
        <v>0</v>
      </c>
      <c r="M19" s="18" t="n">
        <v>0</v>
      </c>
      <c r="N19" s="20" t="n">
        <v>0</v>
      </c>
      <c r="O19" s="18" t="n">
        <v>0</v>
      </c>
      <c r="P19" s="20" t="n">
        <v>0</v>
      </c>
      <c r="Q19" s="18" t="n">
        <v>0.22126378</v>
      </c>
      <c r="R19" s="20" t="n">
        <v>0.22301494</v>
      </c>
    </row>
    <row r="20" spans="1:18">
      <c r="A20" s="15" t="s">
        <v>362</v>
      </c>
      <c r="B20" s="17" t="n">
        <v>1630</v>
      </c>
      <c r="C20" s="18">
        <f>(1432.0/B20*100)</f>
        <v/>
      </c>
      <c r="D20" s="19" t="n">
        <v>198</v>
      </c>
      <c r="E20" s="18" t="n">
        <v>39.23564994</v>
      </c>
      <c r="F20" s="20" t="n">
        <v>3.66703007</v>
      </c>
      <c r="G20" s="18" t="n">
        <v>59.87385579</v>
      </c>
      <c r="H20" s="20" t="n">
        <v>3.48114735</v>
      </c>
      <c r="I20" s="18" t="s">
        <v>349</v>
      </c>
      <c r="J20" s="20" t="s">
        <v>349</v>
      </c>
      <c r="K20" s="18" t="n">
        <v>0</v>
      </c>
      <c r="L20" s="20" t="n">
        <v>0</v>
      </c>
      <c r="M20" s="18" t="n">
        <v>0</v>
      </c>
      <c r="N20" s="20" t="n">
        <v>0</v>
      </c>
      <c r="O20" s="18" t="n">
        <v>0</v>
      </c>
      <c r="P20" s="20" t="n">
        <v>0</v>
      </c>
      <c r="Q20" s="18" t="n">
        <v>0.89049426</v>
      </c>
      <c r="R20" s="20" t="n">
        <v>0.63269288</v>
      </c>
    </row>
    <row r="21" spans="1:18">
      <c r="A21" s="15" t="s">
        <v>363</v>
      </c>
      <c r="B21" s="17" t="n">
        <v>2908</v>
      </c>
      <c r="C21" s="18">
        <f>(2400.0/B21*100)</f>
        <v/>
      </c>
      <c r="D21" s="19" t="n">
        <v>508</v>
      </c>
      <c r="E21" s="18" t="n">
        <v>37.02371967</v>
      </c>
      <c r="F21" s="20" t="n">
        <v>2.0187311</v>
      </c>
      <c r="G21" s="18" t="n">
        <v>61.53605524</v>
      </c>
      <c r="H21" s="20" t="n">
        <v>1.94110587</v>
      </c>
      <c r="I21" s="18" t="s">
        <v>349</v>
      </c>
      <c r="J21" s="20" t="s">
        <v>349</v>
      </c>
      <c r="K21" s="18" t="n">
        <v>0.30322023</v>
      </c>
      <c r="L21" s="20" t="n">
        <v>0.21454015</v>
      </c>
      <c r="M21" s="18" t="n">
        <v>0</v>
      </c>
      <c r="N21" s="20" t="n">
        <v>0</v>
      </c>
      <c r="O21" s="18" t="n">
        <v>0</v>
      </c>
      <c r="P21" s="20" t="n">
        <v>0</v>
      </c>
      <c r="Q21" s="18" t="n">
        <v>1.13700486</v>
      </c>
      <c r="R21" s="20" t="n">
        <v>0.45889327</v>
      </c>
    </row>
    <row r="22" spans="1:18">
      <c r="A22" s="15" t="s">
        <v>364</v>
      </c>
      <c r="B22" s="17" t="n">
        <v>2931</v>
      </c>
      <c r="C22" s="18">
        <f>(2561.0/B22*100)</f>
        <v/>
      </c>
      <c r="D22" s="19" t="n">
        <v>370</v>
      </c>
      <c r="E22" s="18" t="n">
        <v>30.19680058</v>
      </c>
      <c r="F22" s="20" t="n">
        <v>2.79639802</v>
      </c>
      <c r="G22" s="18" t="n">
        <v>66.15663115</v>
      </c>
      <c r="H22" s="20" t="n">
        <v>3.38627002</v>
      </c>
      <c r="I22" s="18" t="s">
        <v>349</v>
      </c>
      <c r="J22" s="20" t="s">
        <v>349</v>
      </c>
      <c r="K22" s="18" t="n">
        <v>0.7301274</v>
      </c>
      <c r="L22" s="20" t="n">
        <v>0.50644556</v>
      </c>
      <c r="M22" s="18" t="n">
        <v>0</v>
      </c>
      <c r="N22" s="20" t="n">
        <v>0</v>
      </c>
      <c r="O22" s="18" t="n">
        <v>0</v>
      </c>
      <c r="P22" s="20" t="n">
        <v>0</v>
      </c>
      <c r="Q22" s="18" t="n">
        <v>2.91644087</v>
      </c>
      <c r="R22" s="20" t="n">
        <v>1.26075193</v>
      </c>
    </row>
    <row r="23" spans="1:18">
      <c r="A23" s="15" t="s">
        <v>365</v>
      </c>
      <c r="B23" s="17" t="n">
        <v>5791</v>
      </c>
      <c r="C23" s="18">
        <f>(5090.0/B23*100)</f>
        <v/>
      </c>
      <c r="D23" s="19" t="n">
        <v>701</v>
      </c>
      <c r="E23" s="18" t="n">
        <v>31.74729629</v>
      </c>
      <c r="F23" s="20" t="n">
        <v>2.45669837</v>
      </c>
      <c r="G23" s="18" t="n">
        <v>66.6532538</v>
      </c>
      <c r="H23" s="20" t="n">
        <v>2.60279768</v>
      </c>
      <c r="I23" s="18" t="s">
        <v>349</v>
      </c>
      <c r="J23" s="20" t="s">
        <v>349</v>
      </c>
      <c r="K23" s="18" t="n">
        <v>0.22931106</v>
      </c>
      <c r="L23" s="20" t="n">
        <v>0.22872687</v>
      </c>
      <c r="M23" s="18" t="n">
        <v>0</v>
      </c>
      <c r="N23" s="20" t="n">
        <v>0</v>
      </c>
      <c r="O23" s="18" t="n">
        <v>0</v>
      </c>
      <c r="P23" s="20" t="n">
        <v>0</v>
      </c>
      <c r="Q23" s="18" t="n">
        <v>1.37013886</v>
      </c>
      <c r="R23" s="20" t="n">
        <v>0.70734511</v>
      </c>
    </row>
    <row r="24" spans="1:18">
      <c r="A24" s="15" t="s">
        <v>366</v>
      </c>
      <c r="B24" s="17" t="n">
        <v>3338</v>
      </c>
      <c r="C24" s="18">
        <f>(2938.0/B24*100)</f>
        <v/>
      </c>
      <c r="D24" s="19" t="n">
        <v>400</v>
      </c>
      <c r="E24" s="18" t="n">
        <v>32.29034256</v>
      </c>
      <c r="F24" s="20" t="n">
        <v>2.2055615</v>
      </c>
      <c r="G24" s="18" t="n">
        <v>66.76274049</v>
      </c>
      <c r="H24" s="20" t="n">
        <v>2.20000419</v>
      </c>
      <c r="I24" s="18" t="s">
        <v>349</v>
      </c>
      <c r="J24" s="20" t="s">
        <v>349</v>
      </c>
      <c r="K24" s="18" t="n">
        <v>0.17720359</v>
      </c>
      <c r="L24" s="20" t="n">
        <v>0.17756785</v>
      </c>
      <c r="M24" s="18" t="n">
        <v>0</v>
      </c>
      <c r="N24" s="20" t="n">
        <v>0</v>
      </c>
      <c r="O24" s="18" t="n">
        <v>0</v>
      </c>
      <c r="P24" s="20" t="n">
        <v>0</v>
      </c>
      <c r="Q24" s="18" t="n">
        <v>0.76971336</v>
      </c>
      <c r="R24" s="20" t="n">
        <v>0.45474373</v>
      </c>
    </row>
    <row r="25" spans="1:18">
      <c r="A25" s="15" t="s">
        <v>367</v>
      </c>
      <c r="B25" s="17" t="n">
        <v>2912</v>
      </c>
      <c r="C25" s="18">
        <f>(2539.0/B25*100)</f>
        <v/>
      </c>
      <c r="D25" s="19" t="n">
        <v>373</v>
      </c>
      <c r="E25" s="18" t="n">
        <v>39.32892085</v>
      </c>
      <c r="F25" s="20" t="n">
        <v>2.62999359</v>
      </c>
      <c r="G25" s="18" t="n">
        <v>58.94775225</v>
      </c>
      <c r="H25" s="20" t="n">
        <v>2.7636917</v>
      </c>
      <c r="I25" s="18" t="s">
        <v>349</v>
      </c>
      <c r="J25" s="20" t="s">
        <v>349</v>
      </c>
      <c r="K25" s="18" t="n">
        <v>1.38420622</v>
      </c>
      <c r="L25" s="20" t="n">
        <v>0.62552061</v>
      </c>
      <c r="M25" s="18" t="n">
        <v>0</v>
      </c>
      <c r="N25" s="20" t="n">
        <v>0</v>
      </c>
      <c r="O25" s="18" t="n">
        <v>0</v>
      </c>
      <c r="P25" s="20" t="n">
        <v>0</v>
      </c>
      <c r="Q25" s="18" t="n">
        <v>0.33912068</v>
      </c>
      <c r="R25" s="20" t="n">
        <v>0.30380659</v>
      </c>
    </row>
    <row r="26" spans="1:18">
      <c r="A26" s="15" t="s">
        <v>368</v>
      </c>
      <c r="B26" s="17" t="n">
        <v>2450</v>
      </c>
      <c r="C26" s="18">
        <f>(2134.0/B26*100)</f>
        <v/>
      </c>
      <c r="D26" s="19" t="n">
        <v>316</v>
      </c>
      <c r="E26" s="18" t="n">
        <v>40.48857388</v>
      </c>
      <c r="F26" s="20" t="n">
        <v>2.87255847</v>
      </c>
      <c r="G26" s="18" t="n">
        <v>58.97490796</v>
      </c>
      <c r="H26" s="20" t="n">
        <v>2.82429915</v>
      </c>
      <c r="I26" s="18" t="s">
        <v>349</v>
      </c>
      <c r="J26" s="20" t="s">
        <v>349</v>
      </c>
      <c r="K26" s="18" t="n">
        <v>0</v>
      </c>
      <c r="L26" s="20" t="n">
        <v>0</v>
      </c>
      <c r="M26" s="18" t="n">
        <v>0</v>
      </c>
      <c r="N26" s="20" t="n">
        <v>0</v>
      </c>
      <c r="O26" s="18" t="n">
        <v>0</v>
      </c>
      <c r="P26" s="20" t="n">
        <v>0</v>
      </c>
      <c r="Q26" s="18" t="n">
        <v>0.53651816</v>
      </c>
      <c r="R26" s="20" t="n">
        <v>0.38143015</v>
      </c>
    </row>
    <row r="27" spans="1:18">
      <c r="A27" s="15" t="s">
        <v>369</v>
      </c>
      <c r="B27" s="17" t="n">
        <v>2616</v>
      </c>
      <c r="C27" s="18">
        <f>(2306.0/B27*100)</f>
        <v/>
      </c>
      <c r="D27" s="19" t="n">
        <v>310</v>
      </c>
      <c r="E27" s="18" t="n">
        <v>37.45658795</v>
      </c>
      <c r="F27" s="20" t="n">
        <v>2.75221986</v>
      </c>
      <c r="G27" s="18" t="n">
        <v>60.91894274</v>
      </c>
      <c r="H27" s="20" t="n">
        <v>2.60575258</v>
      </c>
      <c r="I27" s="18" t="s">
        <v>349</v>
      </c>
      <c r="J27" s="20" t="s">
        <v>349</v>
      </c>
      <c r="K27" s="18" t="n">
        <v>0.64474451</v>
      </c>
      <c r="L27" s="20" t="n">
        <v>0.45310908</v>
      </c>
      <c r="M27" s="18" t="n">
        <v>0</v>
      </c>
      <c r="N27" s="20" t="n">
        <v>0</v>
      </c>
      <c r="O27" s="18" t="n">
        <v>0</v>
      </c>
      <c r="P27" s="20" t="n">
        <v>0</v>
      </c>
      <c r="Q27" s="18" t="n">
        <v>0.9797248</v>
      </c>
      <c r="R27" s="20" t="n">
        <v>0.55973993</v>
      </c>
    </row>
    <row r="28" spans="1:18">
      <c r="A28" s="15" t="s">
        <v>370</v>
      </c>
      <c r="B28" s="17" t="n">
        <v>3765</v>
      </c>
      <c r="C28" s="18">
        <f>(3281.0/B28*100)</f>
        <v/>
      </c>
      <c r="D28" s="19" t="n">
        <v>484</v>
      </c>
      <c r="E28" s="18" t="n">
        <v>66.23353083000001</v>
      </c>
      <c r="F28" s="20" t="n">
        <v>2.47606264</v>
      </c>
      <c r="G28" s="18" t="n">
        <v>32.49475282</v>
      </c>
      <c r="H28" s="20" t="n">
        <v>2.36862898</v>
      </c>
      <c r="I28" s="18" t="s">
        <v>349</v>
      </c>
      <c r="J28" s="20" t="s">
        <v>349</v>
      </c>
      <c r="K28" s="18" t="n">
        <v>0.41619846</v>
      </c>
      <c r="L28" s="20" t="n">
        <v>0.4016636</v>
      </c>
      <c r="M28" s="18" t="n">
        <v>0</v>
      </c>
      <c r="N28" s="20" t="n">
        <v>0</v>
      </c>
      <c r="O28" s="18" t="n">
        <v>0</v>
      </c>
      <c r="P28" s="20" t="n">
        <v>0</v>
      </c>
      <c r="Q28" s="18" t="n">
        <v>0.85551789</v>
      </c>
      <c r="R28" s="20" t="n">
        <v>0.4881035</v>
      </c>
    </row>
    <row r="29" spans="1:18">
      <c r="A29" s="15" t="s">
        <v>371</v>
      </c>
      <c r="B29" s="17" t="n">
        <v>2685</v>
      </c>
      <c r="C29" s="18">
        <f>(2279.0/B29*100)</f>
        <v/>
      </c>
      <c r="D29" s="19" t="n">
        <v>406</v>
      </c>
      <c r="E29" s="18" t="n">
        <v>36.38308548</v>
      </c>
      <c r="F29" s="20" t="n">
        <v>2.5627878</v>
      </c>
      <c r="G29" s="18" t="n">
        <v>62.10140476</v>
      </c>
      <c r="H29" s="20" t="n">
        <v>2.89842675</v>
      </c>
      <c r="I29" s="18" t="s">
        <v>349</v>
      </c>
      <c r="J29" s="20" t="s">
        <v>349</v>
      </c>
      <c r="K29" s="18" t="n">
        <v>1.05670439</v>
      </c>
      <c r="L29" s="20" t="n">
        <v>0.67270613</v>
      </c>
      <c r="M29" s="18" t="n">
        <v>0</v>
      </c>
      <c r="N29" s="20" t="n">
        <v>0</v>
      </c>
      <c r="O29" s="18" t="n">
        <v>0</v>
      </c>
      <c r="P29" s="20" t="n">
        <v>0</v>
      </c>
      <c r="Q29" s="18" t="n">
        <v>0.45880536</v>
      </c>
      <c r="R29" s="20" t="n">
        <v>0.31866159</v>
      </c>
    </row>
    <row r="30" spans="1:18">
      <c r="A30" s="15" t="s">
        <v>372</v>
      </c>
      <c r="B30" s="17" t="n">
        <v>2263</v>
      </c>
      <c r="C30" s="18">
        <f>(2000.0/B30*100)</f>
        <v/>
      </c>
      <c r="D30" s="19" t="n">
        <v>263</v>
      </c>
      <c r="E30" s="18" t="n">
        <v>39.52680118</v>
      </c>
      <c r="F30" s="20" t="n">
        <v>3.17980347</v>
      </c>
      <c r="G30" s="18" t="n">
        <v>59.78462059</v>
      </c>
      <c r="H30" s="20" t="n">
        <v>3.27884376</v>
      </c>
      <c r="I30" s="18" t="s">
        <v>349</v>
      </c>
      <c r="J30" s="20" t="s">
        <v>349</v>
      </c>
      <c r="K30" s="18" t="n">
        <v>0</v>
      </c>
      <c r="L30" s="20" t="n">
        <v>0</v>
      </c>
      <c r="M30" s="18" t="n">
        <v>0</v>
      </c>
      <c r="N30" s="20" t="n">
        <v>0</v>
      </c>
      <c r="O30" s="18" t="n">
        <v>0</v>
      </c>
      <c r="P30" s="20" t="n">
        <v>0</v>
      </c>
      <c r="Q30" s="18" t="n">
        <v>0.68857823</v>
      </c>
      <c r="R30" s="20" t="n">
        <v>0.48021109</v>
      </c>
    </row>
    <row r="31" spans="1:18">
      <c r="A31" s="15" t="s">
        <v>373</v>
      </c>
      <c r="B31" s="17" t="n">
        <v>2750</v>
      </c>
      <c r="C31" s="18">
        <f>(2421.0/B31*100)</f>
        <v/>
      </c>
      <c r="D31" s="19" t="n">
        <v>329</v>
      </c>
      <c r="E31" s="18" t="n">
        <v>37.22043072</v>
      </c>
      <c r="F31" s="20" t="n">
        <v>2.74563629</v>
      </c>
      <c r="G31" s="18" t="n">
        <v>61.10124871</v>
      </c>
      <c r="H31" s="20" t="n">
        <v>2.88709632</v>
      </c>
      <c r="I31" s="18" t="s">
        <v>349</v>
      </c>
      <c r="J31" s="20" t="s">
        <v>349</v>
      </c>
      <c r="K31" s="18" t="n">
        <v>0.29809883</v>
      </c>
      <c r="L31" s="20" t="n">
        <v>0.32178592</v>
      </c>
      <c r="M31" s="18" t="n">
        <v>0</v>
      </c>
      <c r="N31" s="20" t="n">
        <v>0</v>
      </c>
      <c r="O31" s="18" t="n">
        <v>0</v>
      </c>
      <c r="P31" s="20" t="n">
        <v>0</v>
      </c>
      <c r="Q31" s="18" t="n">
        <v>1.38022174</v>
      </c>
      <c r="R31" s="20" t="n">
        <v>0.6067694</v>
      </c>
    </row>
    <row r="32" spans="1:18">
      <c r="A32" s="15" t="s">
        <v>374</v>
      </c>
      <c r="B32" s="17" t="n">
        <v>2269</v>
      </c>
      <c r="C32" s="18">
        <f>(1890.0/B32*100)</f>
        <v/>
      </c>
      <c r="D32" s="19" t="n">
        <v>379</v>
      </c>
      <c r="E32" s="18" t="n">
        <v>30.29504746</v>
      </c>
      <c r="F32" s="20" t="n">
        <v>2.60964657</v>
      </c>
      <c r="G32" s="18" t="n">
        <v>68.97680036</v>
      </c>
      <c r="H32" s="20" t="n">
        <v>2.66503679</v>
      </c>
      <c r="I32" s="18" t="s">
        <v>349</v>
      </c>
      <c r="J32" s="20" t="s">
        <v>349</v>
      </c>
      <c r="K32" s="18" t="n">
        <v>0</v>
      </c>
      <c r="L32" s="20" t="n">
        <v>0</v>
      </c>
      <c r="M32" s="18" t="n">
        <v>0</v>
      </c>
      <c r="N32" s="20" t="n">
        <v>0</v>
      </c>
      <c r="O32" s="18" t="n">
        <v>0</v>
      </c>
      <c r="P32" s="20" t="n">
        <v>0</v>
      </c>
      <c r="Q32" s="18" t="n">
        <v>0.72815218</v>
      </c>
      <c r="R32" s="20" t="n">
        <v>0.41360232</v>
      </c>
    </row>
    <row r="33" spans="1:18">
      <c r="A33" s="15" t="s">
        <v>375</v>
      </c>
      <c r="B33" s="17" t="n">
        <v>3674</v>
      </c>
      <c r="C33" s="18">
        <f>(3218.0/B33*100)</f>
        <v/>
      </c>
      <c r="D33" s="19" t="n">
        <v>456</v>
      </c>
      <c r="E33" s="18" t="n">
        <v>41.27719073</v>
      </c>
      <c r="F33" s="20" t="n">
        <v>2.67017255</v>
      </c>
      <c r="G33" s="18" t="n">
        <v>58.05657474</v>
      </c>
      <c r="H33" s="20" t="n">
        <v>2.70021804</v>
      </c>
      <c r="I33" s="18" t="s">
        <v>349</v>
      </c>
      <c r="J33" s="20" t="s">
        <v>349</v>
      </c>
      <c r="K33" s="18" t="n">
        <v>0.3178389</v>
      </c>
      <c r="L33" s="20" t="n">
        <v>0.27827216</v>
      </c>
      <c r="M33" s="18" t="n">
        <v>0</v>
      </c>
      <c r="N33" s="20" t="n">
        <v>0</v>
      </c>
      <c r="O33" s="18" t="n">
        <v>0</v>
      </c>
      <c r="P33" s="20" t="n">
        <v>0</v>
      </c>
      <c r="Q33" s="18" t="n">
        <v>0.34839562</v>
      </c>
      <c r="R33" s="20" t="n">
        <v>0.29085492</v>
      </c>
    </row>
    <row r="34" spans="1:18">
      <c r="A34" s="15" t="s">
        <v>376</v>
      </c>
      <c r="B34" s="17" t="n">
        <v>3315</v>
      </c>
      <c r="C34" s="18">
        <f>(2858.0/B34*100)</f>
        <v/>
      </c>
      <c r="D34" s="19" t="n">
        <v>457</v>
      </c>
      <c r="E34" s="18" t="n">
        <v>42.11267755</v>
      </c>
      <c r="F34" s="20" t="n">
        <v>2.65967733</v>
      </c>
      <c r="G34" s="18" t="n">
        <v>56.85742712</v>
      </c>
      <c r="H34" s="20" t="n">
        <v>2.7260488</v>
      </c>
      <c r="I34" s="18" t="s">
        <v>349</v>
      </c>
      <c r="J34" s="20" t="s">
        <v>349</v>
      </c>
      <c r="K34" s="18" t="n">
        <v>0</v>
      </c>
      <c r="L34" s="20" t="n">
        <v>0</v>
      </c>
      <c r="M34" s="18" t="n">
        <v>0</v>
      </c>
      <c r="N34" s="20" t="n">
        <v>0</v>
      </c>
      <c r="O34" s="18" t="n">
        <v>0</v>
      </c>
      <c r="P34" s="20" t="n">
        <v>0</v>
      </c>
      <c r="Q34" s="18" t="n">
        <v>1.02989533</v>
      </c>
      <c r="R34" s="20" t="n">
        <v>0.53663637</v>
      </c>
    </row>
    <row r="35" spans="1:18">
      <c r="A35" s="15" t="s">
        <v>377</v>
      </c>
      <c r="B35" s="17" t="n">
        <v>3505</v>
      </c>
      <c r="C35" s="18">
        <f>(2996.0/B35*100)</f>
        <v/>
      </c>
      <c r="D35" s="19" t="n">
        <v>509</v>
      </c>
      <c r="E35" s="18" t="n">
        <v>35.53227801</v>
      </c>
      <c r="F35" s="20" t="n">
        <v>2.86367034</v>
      </c>
      <c r="G35" s="18" t="n">
        <v>63.95548257</v>
      </c>
      <c r="H35" s="20" t="n">
        <v>2.84899076</v>
      </c>
      <c r="I35" s="18" t="s">
        <v>349</v>
      </c>
      <c r="J35" s="20" t="s">
        <v>349</v>
      </c>
      <c r="K35" s="18" t="n">
        <v>0</v>
      </c>
      <c r="L35" s="20" t="n">
        <v>0</v>
      </c>
      <c r="M35" s="18" t="n">
        <v>0</v>
      </c>
      <c r="N35" s="20" t="n">
        <v>0</v>
      </c>
      <c r="O35" s="18" t="n">
        <v>0</v>
      </c>
      <c r="P35" s="20" t="n">
        <v>0</v>
      </c>
      <c r="Q35" s="18" t="n">
        <v>0.51223942</v>
      </c>
      <c r="R35" s="20" t="n">
        <v>0.24123949</v>
      </c>
    </row>
    <row r="36" spans="1:18">
      <c r="A36" s="15" t="s">
        <v>378</v>
      </c>
      <c r="B36" s="17" t="n">
        <v>3332</v>
      </c>
      <c r="C36" s="18">
        <f>(2936.0/B36*100)</f>
        <v/>
      </c>
      <c r="D36" s="19" t="n">
        <v>396</v>
      </c>
      <c r="E36" s="18" t="n">
        <v>39.2164468</v>
      </c>
      <c r="F36" s="20" t="n">
        <v>2.63468484</v>
      </c>
      <c r="G36" s="18" t="n">
        <v>59.19433475</v>
      </c>
      <c r="H36" s="20" t="n">
        <v>2.54462095</v>
      </c>
      <c r="I36" s="18" t="s">
        <v>349</v>
      </c>
      <c r="J36" s="20" t="s">
        <v>349</v>
      </c>
      <c r="K36" s="18" t="n">
        <v>0.57786106</v>
      </c>
      <c r="L36" s="20" t="n">
        <v>0.33893626</v>
      </c>
      <c r="M36" s="18" t="n">
        <v>0</v>
      </c>
      <c r="N36" s="20" t="n">
        <v>0</v>
      </c>
      <c r="O36" s="18" t="n">
        <v>0</v>
      </c>
      <c r="P36" s="20" t="n">
        <v>0</v>
      </c>
      <c r="Q36" s="18" t="n">
        <v>1.01135739</v>
      </c>
      <c r="R36" s="20" t="n">
        <v>0.5387967</v>
      </c>
    </row>
    <row r="37" spans="1:18">
      <c r="A37" s="15" t="s">
        <v>379</v>
      </c>
      <c r="B37" s="17" t="n">
        <v>2727</v>
      </c>
      <c r="C37" s="18">
        <f>(2392.0/B37*100)</f>
        <v/>
      </c>
      <c r="D37" s="19" t="n">
        <v>335</v>
      </c>
      <c r="E37" s="18" t="n">
        <v>33.94618853</v>
      </c>
      <c r="F37" s="20" t="n">
        <v>2.66269143</v>
      </c>
      <c r="G37" s="18" t="n">
        <v>63.49233588</v>
      </c>
      <c r="H37" s="20" t="n">
        <v>2.80937731</v>
      </c>
      <c r="I37" s="18" t="s">
        <v>349</v>
      </c>
      <c r="J37" s="20" t="s">
        <v>349</v>
      </c>
      <c r="K37" s="18" t="n">
        <v>0.49456232</v>
      </c>
      <c r="L37" s="20" t="n">
        <v>0.49052443</v>
      </c>
      <c r="M37" s="18" t="n">
        <v>0</v>
      </c>
      <c r="N37" s="20" t="n">
        <v>0</v>
      </c>
      <c r="O37" s="18" t="n">
        <v>0</v>
      </c>
      <c r="P37" s="20" t="n">
        <v>0</v>
      </c>
      <c r="Q37" s="18" t="n">
        <v>2.06691327</v>
      </c>
      <c r="R37" s="20" t="n">
        <v>0.87436983</v>
      </c>
    </row>
    <row r="38" spans="1:18">
      <c r="A38" s="15" t="s">
        <v>380</v>
      </c>
      <c r="B38" s="17" t="n">
        <v>3053</v>
      </c>
      <c r="C38" s="18">
        <f>(2516.0/B38*100)</f>
        <v/>
      </c>
      <c r="D38" s="19" t="n">
        <v>537</v>
      </c>
      <c r="E38" s="18" t="n">
        <v>24.03619617</v>
      </c>
      <c r="F38" s="20" t="n">
        <v>1.96820971</v>
      </c>
      <c r="G38" s="18" t="n">
        <v>73.40900958</v>
      </c>
      <c r="H38" s="20" t="n">
        <v>2.1234742</v>
      </c>
      <c r="I38" s="18" t="s">
        <v>349</v>
      </c>
      <c r="J38" s="20" t="s">
        <v>349</v>
      </c>
      <c r="K38" s="18" t="n">
        <v>0</v>
      </c>
      <c r="L38" s="20" t="n">
        <v>0</v>
      </c>
      <c r="M38" s="18" t="n">
        <v>0</v>
      </c>
      <c r="N38" s="20" t="n">
        <v>0</v>
      </c>
      <c r="O38" s="18" t="n">
        <v>0</v>
      </c>
      <c r="P38" s="20" t="n">
        <v>0</v>
      </c>
      <c r="Q38" s="18" t="n">
        <v>2.55479425</v>
      </c>
      <c r="R38" s="20" t="n">
        <v>0.76860211</v>
      </c>
    </row>
    <row r="39" spans="1:18">
      <c r="A39" s="15" t="s">
        <v>381</v>
      </c>
      <c r="B39" s="17" t="n">
        <v>2957</v>
      </c>
      <c r="C39" s="18">
        <f>(2588.0/B39*100)</f>
        <v/>
      </c>
      <c r="D39" s="19" t="n">
        <v>369</v>
      </c>
      <c r="E39" s="18" t="n">
        <v>72.50978483999999</v>
      </c>
      <c r="F39" s="20" t="n">
        <v>2.42233508</v>
      </c>
      <c r="G39" s="18" t="n">
        <v>25.56521931</v>
      </c>
      <c r="H39" s="20" t="n">
        <v>2.32764997</v>
      </c>
      <c r="I39" s="18" t="s">
        <v>349</v>
      </c>
      <c r="J39" s="20" t="s">
        <v>349</v>
      </c>
      <c r="K39" s="18" t="n">
        <v>0</v>
      </c>
      <c r="L39" s="20" t="n">
        <v>0</v>
      </c>
      <c r="M39" s="18" t="n">
        <v>0</v>
      </c>
      <c r="N39" s="20" t="n">
        <v>0</v>
      </c>
      <c r="O39" s="18" t="n">
        <v>0</v>
      </c>
      <c r="P39" s="20" t="n">
        <v>0</v>
      </c>
      <c r="Q39" s="18" t="n">
        <v>1.92499585</v>
      </c>
      <c r="R39" s="20" t="n">
        <v>0.74141876</v>
      </c>
    </row>
    <row r="40" spans="1:18">
      <c r="A40" s="15" t="s">
        <v>382</v>
      </c>
      <c r="B40" s="17" t="n">
        <v>7235</v>
      </c>
      <c r="C40" s="18">
        <f>(6358.0/B40*100)</f>
        <v/>
      </c>
      <c r="D40" s="19" t="n">
        <v>877</v>
      </c>
      <c r="E40" s="18" t="n">
        <v>38.49930463</v>
      </c>
      <c r="F40" s="20" t="n">
        <v>2.98922556</v>
      </c>
      <c r="G40" s="18" t="n">
        <v>60.17983808</v>
      </c>
      <c r="H40" s="20" t="n">
        <v>2.87924132</v>
      </c>
      <c r="I40" s="18" t="s">
        <v>349</v>
      </c>
      <c r="J40" s="20" t="s">
        <v>349</v>
      </c>
      <c r="K40" s="18" t="n">
        <v>0</v>
      </c>
      <c r="L40" s="20" t="n">
        <v>0</v>
      </c>
      <c r="M40" s="18" t="n">
        <v>0</v>
      </c>
      <c r="N40" s="20" t="n">
        <v>0</v>
      </c>
      <c r="O40" s="18" t="n">
        <v>0</v>
      </c>
      <c r="P40" s="20" t="n">
        <v>0</v>
      </c>
      <c r="Q40" s="18" t="n">
        <v>1.32085729</v>
      </c>
      <c r="R40" s="20" t="n">
        <v>0.65684147</v>
      </c>
    </row>
    <row r="41" spans="1:18">
      <c r="A41" s="15" t="s">
        <v>383</v>
      </c>
      <c r="B41" s="17" t="n">
        <v>2858</v>
      </c>
      <c r="C41" s="18">
        <f>(2494.0/B41*100)</f>
        <v/>
      </c>
      <c r="D41" s="19" t="n">
        <v>364</v>
      </c>
      <c r="E41" s="18" t="n">
        <v>40.04006587</v>
      </c>
      <c r="F41" s="20" t="n">
        <v>2.56331087</v>
      </c>
      <c r="G41" s="18" t="n">
        <v>58.51683925</v>
      </c>
      <c r="H41" s="20" t="n">
        <v>2.59107993</v>
      </c>
      <c r="I41" s="18" t="s">
        <v>349</v>
      </c>
      <c r="J41" s="20" t="s">
        <v>349</v>
      </c>
      <c r="K41" s="18" t="n">
        <v>0.26311117</v>
      </c>
      <c r="L41" s="20" t="n">
        <v>0.2546578</v>
      </c>
      <c r="M41" s="18" t="n">
        <v>0</v>
      </c>
      <c r="N41" s="20" t="n">
        <v>0</v>
      </c>
      <c r="O41" s="18" t="n">
        <v>0</v>
      </c>
      <c r="P41" s="20" t="n">
        <v>0</v>
      </c>
      <c r="Q41" s="18" t="n">
        <v>1.17998371</v>
      </c>
      <c r="R41" s="20" t="n">
        <v>0.53764778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(9744.0/B46*100)</f>
        <v/>
      </c>
      <c r="D46" s="19" t="n">
        <v>1324</v>
      </c>
      <c r="E46" s="18" t="n">
        <v>58.30066267</v>
      </c>
      <c r="F46" s="20" t="n">
        <v>1.79580624</v>
      </c>
      <c r="G46" s="18" t="n">
        <v>38.37317711</v>
      </c>
      <c r="H46" s="20" t="n">
        <v>1.72571691</v>
      </c>
      <c r="I46" s="18" t="s">
        <v>349</v>
      </c>
      <c r="J46" s="20" t="s">
        <v>349</v>
      </c>
      <c r="K46" s="18" t="n">
        <v>0.27586905</v>
      </c>
      <c r="L46" s="20" t="n">
        <v>0.17706874</v>
      </c>
      <c r="M46" s="18" t="n">
        <v>0</v>
      </c>
      <c r="N46" s="20" t="n">
        <v>0</v>
      </c>
      <c r="O46" s="18" t="n">
        <v>0</v>
      </c>
      <c r="P46" s="20" t="n">
        <v>0</v>
      </c>
      <c r="Q46" s="18" t="n">
        <v>3.05029118</v>
      </c>
      <c r="R46" s="20" t="n">
        <v>0.65960646</v>
      </c>
    </row>
    <row r="47" spans="1:18">
      <c r="A47" s="15" t="s">
        <v>389</v>
      </c>
      <c r="B47" s="17" t="n">
        <v>3105</v>
      </c>
      <c r="C47" s="18">
        <f>(2741.0/B47*100)</f>
        <v/>
      </c>
      <c r="D47" s="19" t="n">
        <v>364</v>
      </c>
      <c r="E47" s="18" t="n">
        <v>47.3455251</v>
      </c>
      <c r="F47" s="20" t="n">
        <v>3.0341566</v>
      </c>
      <c r="G47" s="18" t="n">
        <v>50.84282389</v>
      </c>
      <c r="H47" s="20" t="n">
        <v>2.9492155</v>
      </c>
      <c r="I47" s="18" t="s">
        <v>349</v>
      </c>
      <c r="J47" s="20" t="s">
        <v>349</v>
      </c>
      <c r="K47" s="18" t="n">
        <v>0.25425555</v>
      </c>
      <c r="L47" s="20" t="n">
        <v>0.24491479</v>
      </c>
      <c r="M47" s="18" t="n">
        <v>0</v>
      </c>
      <c r="N47" s="20" t="n">
        <v>0</v>
      </c>
      <c r="O47" s="18" t="n">
        <v>0</v>
      </c>
      <c r="P47" s="20" t="n">
        <v>0</v>
      </c>
      <c r="Q47" s="18" t="n">
        <v>1.55739546</v>
      </c>
      <c r="R47" s="20" t="n">
        <v>0.64845591</v>
      </c>
    </row>
    <row r="48" spans="1:18">
      <c r="A48" s="15" t="s">
        <v>390</v>
      </c>
      <c r="B48" s="17" t="n">
        <v>5159</v>
      </c>
      <c r="C48" s="18">
        <f>(4518.0/B48*100)</f>
        <v/>
      </c>
      <c r="D48" s="19" t="n">
        <v>641</v>
      </c>
      <c r="E48" s="18" t="n">
        <v>43.32380507</v>
      </c>
      <c r="F48" s="20" t="n">
        <v>2.82718338</v>
      </c>
      <c r="G48" s="18" t="n">
        <v>55.24593947</v>
      </c>
      <c r="H48" s="20" t="n">
        <v>2.78556437</v>
      </c>
      <c r="I48" s="18" t="s">
        <v>349</v>
      </c>
      <c r="J48" s="20" t="s">
        <v>349</v>
      </c>
      <c r="K48" s="18" t="n">
        <v>0.87880308</v>
      </c>
      <c r="L48" s="20" t="n">
        <v>0.45764995</v>
      </c>
      <c r="M48" s="18" t="n">
        <v>0</v>
      </c>
      <c r="N48" s="20" t="n">
        <v>0</v>
      </c>
      <c r="O48" s="18" t="n">
        <v>0</v>
      </c>
      <c r="P48" s="20" t="n">
        <v>0</v>
      </c>
      <c r="Q48" s="18" t="n">
        <v>0.55145238</v>
      </c>
      <c r="R48" s="20" t="n">
        <v>0.39263733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(4939.0/B50*100)</f>
        <v/>
      </c>
      <c r="D50" s="19" t="n">
        <v>698</v>
      </c>
      <c r="E50" s="18" t="n">
        <v>62.68332345</v>
      </c>
      <c r="F50" s="20" t="n">
        <v>2.54021074</v>
      </c>
      <c r="G50" s="18" t="n">
        <v>34.54119581</v>
      </c>
      <c r="H50" s="20" t="n">
        <v>2.36816523</v>
      </c>
      <c r="I50" s="18" t="s">
        <v>349</v>
      </c>
      <c r="J50" s="20" t="s">
        <v>349</v>
      </c>
      <c r="K50" s="18" t="n">
        <v>1.03330568</v>
      </c>
      <c r="L50" s="20" t="n">
        <v>0.53415188</v>
      </c>
      <c r="M50" s="18" t="n">
        <v>0</v>
      </c>
      <c r="N50" s="20" t="n">
        <v>0</v>
      </c>
      <c r="O50" s="18" t="n">
        <v>0</v>
      </c>
      <c r="P50" s="20" t="n">
        <v>0</v>
      </c>
      <c r="Q50" s="18" t="n">
        <v>1.74217506</v>
      </c>
      <c r="R50" s="20" t="n">
        <v>0.73193677</v>
      </c>
    </row>
    <row r="51" spans="1:18">
      <c r="A51" s="15" t="s">
        <v>393</v>
      </c>
      <c r="B51" s="17" t="n">
        <v>3372</v>
      </c>
      <c r="C51" s="18">
        <f>(2636.0/B51*100)</f>
        <v/>
      </c>
      <c r="D51" s="19" t="n">
        <v>736</v>
      </c>
      <c r="E51" s="18" t="n">
        <v>63.83542236</v>
      </c>
      <c r="F51" s="20" t="n">
        <v>1.76340048</v>
      </c>
      <c r="G51" s="18" t="n">
        <v>34.43680422</v>
      </c>
      <c r="H51" s="20" t="n">
        <v>1.70969641</v>
      </c>
      <c r="I51" s="18" t="s">
        <v>349</v>
      </c>
      <c r="J51" s="20" t="s">
        <v>349</v>
      </c>
      <c r="K51" s="18" t="n">
        <v>0.13701946</v>
      </c>
      <c r="L51" s="20" t="n">
        <v>0.13379719</v>
      </c>
      <c r="M51" s="18" t="n">
        <v>0</v>
      </c>
      <c r="N51" s="20" t="n">
        <v>0</v>
      </c>
      <c r="O51" s="18" t="n">
        <v>0</v>
      </c>
      <c r="P51" s="20" t="n">
        <v>0</v>
      </c>
      <c r="Q51" s="18" t="n">
        <v>1.59075395</v>
      </c>
      <c r="R51" s="20" t="n">
        <v>0.4942696</v>
      </c>
    </row>
    <row r="52" spans="1:18">
      <c r="A52" s="15" t="s">
        <v>394</v>
      </c>
      <c r="B52" s="17" t="n">
        <v>2796</v>
      </c>
      <c r="C52" s="18">
        <f>(2453.0/B52*100)</f>
        <v/>
      </c>
      <c r="D52" s="19" t="n">
        <v>343</v>
      </c>
      <c r="E52" s="18" t="n">
        <v>41.81656188</v>
      </c>
      <c r="F52" s="20" t="n">
        <v>2.69792374</v>
      </c>
      <c r="G52" s="18" t="n">
        <v>56.12189076</v>
      </c>
      <c r="H52" s="20" t="n">
        <v>2.60031172</v>
      </c>
      <c r="I52" s="18" t="s">
        <v>349</v>
      </c>
      <c r="J52" s="20" t="s">
        <v>349</v>
      </c>
      <c r="K52" s="18" t="n">
        <v>0</v>
      </c>
      <c r="L52" s="20" t="n">
        <v>0</v>
      </c>
      <c r="M52" s="18" t="n">
        <v>0</v>
      </c>
      <c r="N52" s="20" t="n">
        <v>0</v>
      </c>
      <c r="O52" s="18" t="n">
        <v>0</v>
      </c>
      <c r="P52" s="20" t="n">
        <v>0</v>
      </c>
      <c r="Q52" s="18" t="n">
        <v>2.06154736</v>
      </c>
      <c r="R52" s="20" t="n">
        <v>0.87375735</v>
      </c>
    </row>
    <row r="53" spans="1:18">
      <c r="A53" s="15" t="s">
        <v>395</v>
      </c>
      <c r="B53" s="17" t="n">
        <v>2811</v>
      </c>
      <c r="C53" s="18">
        <f>(2469.0/B53*100)</f>
        <v/>
      </c>
      <c r="D53" s="19" t="n">
        <v>342</v>
      </c>
      <c r="E53" s="18" t="n">
        <v>55.88218612</v>
      </c>
      <c r="F53" s="20" t="n">
        <v>2.83978009</v>
      </c>
      <c r="G53" s="18" t="n">
        <v>40.57876737</v>
      </c>
      <c r="H53" s="20" t="n">
        <v>2.87030331</v>
      </c>
      <c r="I53" s="18" t="s">
        <v>349</v>
      </c>
      <c r="J53" s="20" t="s">
        <v>349</v>
      </c>
      <c r="K53" s="18" t="n">
        <v>0.39750094</v>
      </c>
      <c r="L53" s="20" t="n">
        <v>0.39408967</v>
      </c>
      <c r="M53" s="18" t="n">
        <v>0</v>
      </c>
      <c r="N53" s="20" t="n">
        <v>0</v>
      </c>
      <c r="O53" s="18" t="n">
        <v>0</v>
      </c>
      <c r="P53" s="20" t="n">
        <v>0</v>
      </c>
      <c r="Q53" s="18" t="n">
        <v>3.14154557</v>
      </c>
      <c r="R53" s="20" t="n">
        <v>0.9548975</v>
      </c>
    </row>
    <row r="54" spans="1:18">
      <c r="A54" s="15" t="s">
        <v>396</v>
      </c>
      <c r="B54" s="17" t="n">
        <v>2266</v>
      </c>
      <c r="C54" s="18">
        <f>(1925.0/B54*100)</f>
        <v/>
      </c>
      <c r="D54" s="19" t="n">
        <v>341</v>
      </c>
      <c r="E54" s="18" t="n">
        <v>64.98915905</v>
      </c>
      <c r="F54" s="20" t="n">
        <v>2.98886847</v>
      </c>
      <c r="G54" s="18" t="n">
        <v>27.84569479</v>
      </c>
      <c r="H54" s="20" t="n">
        <v>2.78895909</v>
      </c>
      <c r="I54" s="18" t="s">
        <v>349</v>
      </c>
      <c r="J54" s="20" t="s">
        <v>349</v>
      </c>
      <c r="K54" s="18" t="n">
        <v>2.73929736</v>
      </c>
      <c r="L54" s="20" t="n">
        <v>1.05814341</v>
      </c>
      <c r="M54" s="18" t="n">
        <v>0</v>
      </c>
      <c r="N54" s="20" t="n">
        <v>0</v>
      </c>
      <c r="O54" s="18" t="n">
        <v>0</v>
      </c>
      <c r="P54" s="20" t="n">
        <v>0</v>
      </c>
      <c r="Q54" s="18" t="n">
        <v>4.4258488</v>
      </c>
      <c r="R54" s="20" t="n">
        <v>1.26250568</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35.79750275</v>
      </c>
      <c r="F56" s="20" t="n">
        <v>3.15155792</v>
      </c>
      <c r="G56" s="18" t="n">
        <v>63.44370144</v>
      </c>
      <c r="H56" s="20" t="n">
        <v>3.12498162</v>
      </c>
      <c r="I56" s="18" t="s">
        <v>349</v>
      </c>
      <c r="J56" s="20" t="s">
        <v>349</v>
      </c>
      <c r="K56" s="18" t="n">
        <v>0</v>
      </c>
      <c r="L56" s="20" t="n">
        <v>0</v>
      </c>
      <c r="M56" s="18" t="n">
        <v>0</v>
      </c>
      <c r="N56" s="20" t="n">
        <v>0</v>
      </c>
      <c r="O56" s="18" t="n">
        <v>0</v>
      </c>
      <c r="P56" s="20" t="n">
        <v>0</v>
      </c>
      <c r="Q56" s="18" t="n">
        <v>0.75879581</v>
      </c>
      <c r="R56" s="20" t="n">
        <v>0.44358858</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(2904.0/B61*100)</f>
        <v/>
      </c>
      <c r="D61" s="19" t="n">
        <v>420</v>
      </c>
      <c r="E61" s="18" t="n">
        <v>43.01791596</v>
      </c>
      <c r="F61" s="20" t="n">
        <v>2.35057419</v>
      </c>
      <c r="G61" s="18" t="n">
        <v>56.66577931</v>
      </c>
      <c r="H61" s="20" t="n">
        <v>2.34029108</v>
      </c>
      <c r="I61" s="18" t="s">
        <v>349</v>
      </c>
      <c r="J61" s="20" t="s">
        <v>349</v>
      </c>
      <c r="K61" s="18" t="n">
        <v>0</v>
      </c>
      <c r="L61" s="20" t="n">
        <v>0</v>
      </c>
      <c r="M61" s="18" t="n">
        <v>0</v>
      </c>
      <c r="N61" s="20" t="n">
        <v>0</v>
      </c>
      <c r="O61" s="18" t="n">
        <v>0</v>
      </c>
      <c r="P61" s="20" t="n">
        <v>0</v>
      </c>
      <c r="Q61" s="18" t="n">
        <v>0.31630473</v>
      </c>
      <c r="R61" s="20" t="n">
        <v>0.25288188</v>
      </c>
    </row>
    <row r="62" spans="1:18">
      <c r="A62" s="15" t="s">
        <v>404</v>
      </c>
      <c r="B62" s="17" t="n">
        <v>2246</v>
      </c>
      <c r="C62" s="18">
        <f>(1946.0/B62*100)</f>
        <v/>
      </c>
      <c r="D62" s="19" t="n">
        <v>300</v>
      </c>
      <c r="E62" s="18" t="n">
        <v>40.0396069</v>
      </c>
      <c r="F62" s="20" t="n">
        <v>2.79902627</v>
      </c>
      <c r="G62" s="18" t="n">
        <v>59.62587602</v>
      </c>
      <c r="H62" s="20" t="n">
        <v>2.74424354</v>
      </c>
      <c r="I62" s="18" t="s">
        <v>349</v>
      </c>
      <c r="J62" s="20" t="s">
        <v>349</v>
      </c>
      <c r="K62" s="18" t="n">
        <v>0</v>
      </c>
      <c r="L62" s="20" t="n">
        <v>0</v>
      </c>
      <c r="M62" s="18" t="n">
        <v>0</v>
      </c>
      <c r="N62" s="20" t="n">
        <v>0</v>
      </c>
      <c r="O62" s="18" t="n">
        <v>0</v>
      </c>
      <c r="P62" s="20" t="n">
        <v>0</v>
      </c>
      <c r="Q62" s="18" t="n">
        <v>0.33451708</v>
      </c>
      <c r="R62" s="20" t="n">
        <v>0.33436817</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(2537.0/B66*100)</f>
        <v/>
      </c>
      <c r="D66" s="19" t="n">
        <v>357</v>
      </c>
      <c r="E66" s="18" t="n">
        <v>44.35004359</v>
      </c>
      <c r="F66" s="20" t="n">
        <v>2.45490191</v>
      </c>
      <c r="G66" s="18" t="n">
        <v>50.8043538</v>
      </c>
      <c r="H66" s="20" t="n">
        <v>2.55918087</v>
      </c>
      <c r="I66" s="18" t="s">
        <v>349</v>
      </c>
      <c r="J66" s="20" t="s">
        <v>349</v>
      </c>
      <c r="K66" s="18" t="n">
        <v>0</v>
      </c>
      <c r="L66" s="20" t="n">
        <v>0</v>
      </c>
      <c r="M66" s="18" t="n">
        <v>0</v>
      </c>
      <c r="N66" s="20" t="n">
        <v>0</v>
      </c>
      <c r="O66" s="18" t="n">
        <v>0</v>
      </c>
      <c r="P66" s="20" t="n">
        <v>0</v>
      </c>
      <c r="Q66" s="18" t="n">
        <v>4.84560262</v>
      </c>
      <c r="R66" s="20" t="n">
        <v>1.13354424</v>
      </c>
    </row>
    <row r="67" spans="1:18">
      <c r="A67" s="15" t="s">
        <v>409</v>
      </c>
      <c r="B67" s="17" t="n">
        <v>3511</v>
      </c>
      <c r="C67" s="18">
        <f>(3094.0/B67*100)</f>
        <v/>
      </c>
      <c r="D67" s="19" t="n">
        <v>417</v>
      </c>
      <c r="E67" s="18" t="n">
        <v>68.36946171</v>
      </c>
      <c r="F67" s="20" t="n">
        <v>2.23494612</v>
      </c>
      <c r="G67" s="18" t="n">
        <v>28.70834916</v>
      </c>
      <c r="H67" s="20" t="n">
        <v>2.17327338</v>
      </c>
      <c r="I67" s="18" t="s">
        <v>349</v>
      </c>
      <c r="J67" s="20" t="s">
        <v>349</v>
      </c>
      <c r="K67" s="18" t="n">
        <v>0</v>
      </c>
      <c r="L67" s="20" t="n">
        <v>0</v>
      </c>
      <c r="M67" s="18" t="n">
        <v>0</v>
      </c>
      <c r="N67" s="20" t="n">
        <v>0</v>
      </c>
      <c r="O67" s="18" t="n">
        <v>0</v>
      </c>
      <c r="P67" s="20" t="n">
        <v>0</v>
      </c>
      <c r="Q67" s="18" t="n">
        <v>2.92218913</v>
      </c>
      <c r="R67" s="20" t="n">
        <v>0.87153569</v>
      </c>
    </row>
    <row r="68" spans="1:18">
      <c r="A68" s="15" t="s">
        <v>410</v>
      </c>
      <c r="B68" s="17" t="n">
        <v>6049</v>
      </c>
      <c r="C68" s="18">
        <f>(5047.0/B68*100)</f>
        <v/>
      </c>
      <c r="D68" s="19" t="n">
        <v>1002</v>
      </c>
      <c r="E68" s="18" t="n">
        <v>60.4736227</v>
      </c>
      <c r="F68" s="20" t="n">
        <v>1.66359847</v>
      </c>
      <c r="G68" s="18" t="n">
        <v>34.58311761</v>
      </c>
      <c r="H68" s="20" t="n">
        <v>1.59316135</v>
      </c>
      <c r="I68" s="18" t="s">
        <v>349</v>
      </c>
      <c r="J68" s="20" t="s">
        <v>349</v>
      </c>
      <c r="K68" s="18" t="n">
        <v>1.59957552</v>
      </c>
      <c r="L68" s="20" t="n">
        <v>0.41178694</v>
      </c>
      <c r="M68" s="18" t="n">
        <v>0</v>
      </c>
      <c r="N68" s="20" t="n">
        <v>0</v>
      </c>
      <c r="O68" s="18" t="n">
        <v>0</v>
      </c>
      <c r="P68" s="20" t="n">
        <v>0</v>
      </c>
      <c r="Q68" s="18" t="n">
        <v>3.34368416</v>
      </c>
      <c r="R68" s="20" t="n">
        <v>0.60165238</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(2537.0/B70*100)</f>
        <v/>
      </c>
      <c r="D70" s="19" t="n">
        <v>392</v>
      </c>
      <c r="E70" s="18" t="n">
        <v>35.01649397</v>
      </c>
      <c r="F70" s="20" t="n">
        <v>3.06394988</v>
      </c>
      <c r="G70" s="18" t="n">
        <v>64.21374534</v>
      </c>
      <c r="H70" s="20" t="n">
        <v>3.10535284</v>
      </c>
      <c r="I70" s="18" t="s">
        <v>349</v>
      </c>
      <c r="J70" s="20" t="s">
        <v>349</v>
      </c>
      <c r="K70" s="18" t="n">
        <v>0</v>
      </c>
      <c r="L70" s="20" t="n">
        <v>0</v>
      </c>
      <c r="M70" s="18" t="n">
        <v>0</v>
      </c>
      <c r="N70" s="20" t="n">
        <v>0</v>
      </c>
      <c r="O70" s="18" t="n">
        <v>0</v>
      </c>
      <c r="P70" s="20" t="n">
        <v>0</v>
      </c>
      <c r="Q70" s="18" t="n">
        <v>0.76976068</v>
      </c>
      <c r="R70" s="20" t="n">
        <v>0.39841434</v>
      </c>
    </row>
    <row r="71" spans="1:18">
      <c r="A71" s="15" t="s">
        <v>413</v>
      </c>
      <c r="B71" s="17" t="n">
        <v>3142</v>
      </c>
      <c r="C71" s="18">
        <f>(2754.0/B71*100)</f>
        <v/>
      </c>
      <c r="D71" s="19" t="n">
        <v>388</v>
      </c>
      <c r="E71" s="18" t="n">
        <v>28.6424109</v>
      </c>
      <c r="F71" s="20" t="n">
        <v>2.39018337</v>
      </c>
      <c r="G71" s="18" t="n">
        <v>71.20551493000001</v>
      </c>
      <c r="H71" s="20" t="n">
        <v>2.41535631</v>
      </c>
      <c r="I71" s="18" t="s">
        <v>349</v>
      </c>
      <c r="J71" s="20" t="s">
        <v>349</v>
      </c>
      <c r="K71" s="18" t="n">
        <v>0.15207417</v>
      </c>
      <c r="L71" s="20" t="n">
        <v>0.15462322</v>
      </c>
      <c r="M71" s="18" t="n">
        <v>0</v>
      </c>
      <c r="N71" s="20" t="n">
        <v>0</v>
      </c>
      <c r="O71" s="18" t="n">
        <v>0</v>
      </c>
      <c r="P71" s="20" t="n">
        <v>0</v>
      </c>
      <c r="Q71" s="18" t="n">
        <v>0</v>
      </c>
      <c r="R71" s="20" t="n">
        <v>0</v>
      </c>
    </row>
    <row r="72" spans="1:18">
      <c r="A72" s="15" t="s">
        <v>414</v>
      </c>
      <c r="B72" s="17" t="n">
        <v>3889</v>
      </c>
      <c r="C72" s="18">
        <f>(3420.0/B72*100)</f>
        <v/>
      </c>
      <c r="D72" s="19" t="n">
        <v>469</v>
      </c>
      <c r="E72" s="18" t="n">
        <v>40.92175685</v>
      </c>
      <c r="F72" s="20" t="n">
        <v>2.47187448</v>
      </c>
      <c r="G72" s="18" t="n">
        <v>58.40906225</v>
      </c>
      <c r="H72" s="20" t="n">
        <v>2.45854046</v>
      </c>
      <c r="I72" s="18" t="s">
        <v>349</v>
      </c>
      <c r="J72" s="20" t="s">
        <v>349</v>
      </c>
      <c r="K72" s="18" t="n">
        <v>0</v>
      </c>
      <c r="L72" s="20" t="n">
        <v>0</v>
      </c>
      <c r="M72" s="18" t="n">
        <v>0</v>
      </c>
      <c r="N72" s="20" t="n">
        <v>0</v>
      </c>
      <c r="O72" s="18" t="n">
        <v>0</v>
      </c>
      <c r="P72" s="20" t="n">
        <v>0</v>
      </c>
      <c r="Q72" s="18" t="n">
        <v>0.6691809</v>
      </c>
      <c r="R72" s="20" t="n">
        <v>0.39052905</v>
      </c>
    </row>
    <row r="73" spans="1:18">
      <c r="A73" s="15" t="s">
        <v>415</v>
      </c>
      <c r="B73" s="17" t="n">
        <v>3597</v>
      </c>
      <c r="C73" s="18">
        <f>(3165.0/B73*100)</f>
        <v/>
      </c>
      <c r="D73" s="19" t="n">
        <v>432</v>
      </c>
      <c r="E73" s="18" t="n">
        <v>76.11043028</v>
      </c>
      <c r="F73" s="20" t="n">
        <v>2.508463</v>
      </c>
      <c r="G73" s="18" t="n">
        <v>23.55108926</v>
      </c>
      <c r="H73" s="20" t="n">
        <v>2.5858743</v>
      </c>
      <c r="I73" s="18" t="s">
        <v>349</v>
      </c>
      <c r="J73" s="20" t="s">
        <v>349</v>
      </c>
      <c r="K73" s="18" t="n">
        <v>0</v>
      </c>
      <c r="L73" s="20" t="n">
        <v>0</v>
      </c>
      <c r="M73" s="18" t="n">
        <v>0</v>
      </c>
      <c r="N73" s="20" t="n">
        <v>0</v>
      </c>
      <c r="O73" s="18" t="n">
        <v>0</v>
      </c>
      <c r="P73" s="20" t="n">
        <v>0</v>
      </c>
      <c r="Q73" s="18" t="n">
        <v>0.33848047</v>
      </c>
      <c r="R73" s="20" t="n">
        <v>0.32143105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(2130.0/B75*100)</f>
        <v/>
      </c>
      <c r="D75" s="19" t="n">
        <v>276</v>
      </c>
      <c r="E75" s="18" t="n">
        <v>65.35498774</v>
      </c>
      <c r="F75" s="20" t="n">
        <v>3.09935292</v>
      </c>
      <c r="G75" s="18" t="n">
        <v>28.74042873</v>
      </c>
      <c r="H75" s="20" t="n">
        <v>3.09229761</v>
      </c>
      <c r="I75" s="18" t="s">
        <v>349</v>
      </c>
      <c r="J75" s="20" t="s">
        <v>349</v>
      </c>
      <c r="K75" s="18" t="n">
        <v>0.98639682</v>
      </c>
      <c r="L75" s="20" t="n">
        <v>0.59970123</v>
      </c>
      <c r="M75" s="18" t="n">
        <v>0</v>
      </c>
      <c r="N75" s="20" t="n">
        <v>0</v>
      </c>
      <c r="O75" s="18" t="n">
        <v>0</v>
      </c>
      <c r="P75" s="20" t="n">
        <v>0</v>
      </c>
      <c r="Q75" s="18" t="n">
        <v>4.91818671</v>
      </c>
      <c r="R75" s="20" t="n">
        <v>1.46667192</v>
      </c>
    </row>
    <row r="76" spans="1:18">
      <c r="A76" s="15" t="s">
        <v>418</v>
      </c>
      <c r="B76" s="17" t="n">
        <v>7052</v>
      </c>
      <c r="C76" s="18">
        <f>(6183.0/B76*100)</f>
        <v/>
      </c>
      <c r="D76" s="19" t="n">
        <v>869</v>
      </c>
      <c r="E76" s="18" t="n">
        <v>55.477232</v>
      </c>
      <c r="F76" s="20" t="n">
        <v>2.13117801</v>
      </c>
      <c r="G76" s="18" t="n">
        <v>42.48058613</v>
      </c>
      <c r="H76" s="20" t="n">
        <v>2.07415195</v>
      </c>
      <c r="I76" s="18" t="s">
        <v>349</v>
      </c>
      <c r="J76" s="20" t="s">
        <v>349</v>
      </c>
      <c r="K76" s="18" t="n">
        <v>0.29165132</v>
      </c>
      <c r="L76" s="20" t="n">
        <v>0.19421614</v>
      </c>
      <c r="M76" s="18" t="n">
        <v>0</v>
      </c>
      <c r="N76" s="20" t="n">
        <v>0</v>
      </c>
      <c r="O76" s="18" t="n">
        <v>0</v>
      </c>
      <c r="P76" s="20" t="n">
        <v>0</v>
      </c>
      <c r="Q76" s="18" t="n">
        <v>1.75053055</v>
      </c>
      <c r="R76" s="20" t="n">
        <v>0.45677235</v>
      </c>
    </row>
    <row r="77" spans="1:18">
      <c r="A77" s="15" t="s">
        <v>419</v>
      </c>
      <c r="B77" s="17" t="n">
        <v>2908</v>
      </c>
      <c r="C77" s="18">
        <f>(2541.0/B77*100)</f>
        <v/>
      </c>
      <c r="D77" s="19" t="n">
        <v>367</v>
      </c>
      <c r="E77" s="18" t="n">
        <v>54.33686417</v>
      </c>
      <c r="F77" s="20" t="n">
        <v>2.90607657</v>
      </c>
      <c r="G77" s="18" t="n">
        <v>41.11826432</v>
      </c>
      <c r="H77" s="20" t="n">
        <v>2.80938053</v>
      </c>
      <c r="I77" s="18" t="s">
        <v>349</v>
      </c>
      <c r="J77" s="20" t="s">
        <v>349</v>
      </c>
      <c r="K77" s="18" t="n">
        <v>0.6847193499999999</v>
      </c>
      <c r="L77" s="20" t="n">
        <v>0.5760752099999999</v>
      </c>
      <c r="M77" s="18" t="n">
        <v>0</v>
      </c>
      <c r="N77" s="20" t="n">
        <v>0</v>
      </c>
      <c r="O77" s="18" t="n">
        <v>0</v>
      </c>
      <c r="P77" s="20" t="n">
        <v>0</v>
      </c>
      <c r="Q77" s="18" t="n">
        <v>3.86015216</v>
      </c>
      <c r="R77" s="20" t="n">
        <v>1.17617387</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(3655.0/B81*100)</f>
        <v/>
      </c>
      <c r="D81" s="19" t="n">
        <v>508</v>
      </c>
      <c r="E81" s="18" t="n">
        <v>66.70272550999999</v>
      </c>
      <c r="F81" s="20" t="n">
        <v>2.46837017</v>
      </c>
      <c r="G81" s="18" t="n">
        <v>32.41450023</v>
      </c>
      <c r="H81" s="20" t="n">
        <v>2.50000602</v>
      </c>
      <c r="I81" s="18" t="s">
        <v>349</v>
      </c>
      <c r="J81" s="20" t="s">
        <v>349</v>
      </c>
      <c r="K81" s="18" t="n">
        <v>0</v>
      </c>
      <c r="L81" s="20" t="n">
        <v>0</v>
      </c>
      <c r="M81" s="18" t="n">
        <v>0</v>
      </c>
      <c r="N81" s="20" t="n">
        <v>0</v>
      </c>
      <c r="O81" s="18" t="n">
        <v>0</v>
      </c>
      <c r="P81" s="20" t="n">
        <v>0</v>
      </c>
      <c r="Q81" s="18" t="n">
        <v>0.88277427</v>
      </c>
      <c r="R81" s="20" t="n">
        <v>0.46990876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(6421.0/B7*100)</f>
        <v/>
      </c>
      <c r="D7" s="19" t="n">
        <v>946</v>
      </c>
      <c r="E7" s="18" t="n">
        <v>56.55764254</v>
      </c>
      <c r="F7" s="20" t="n">
        <v>2.06776694</v>
      </c>
      <c r="G7" s="18" t="n">
        <v>37.06237981</v>
      </c>
      <c r="H7" s="20" t="n">
        <v>1.74721391</v>
      </c>
      <c r="I7" s="18" t="s">
        <v>349</v>
      </c>
      <c r="J7" s="20" t="s">
        <v>349</v>
      </c>
      <c r="K7" s="18" t="n">
        <v>0.27960834</v>
      </c>
      <c r="L7" s="20" t="n">
        <v>0.19241944</v>
      </c>
      <c r="M7" s="18" t="n">
        <v>0</v>
      </c>
      <c r="N7" s="20" t="n">
        <v>0</v>
      </c>
      <c r="O7" s="18" t="n">
        <v>0</v>
      </c>
      <c r="P7" s="20" t="n">
        <v>0</v>
      </c>
      <c r="Q7" s="18" t="n">
        <v>6.10036931</v>
      </c>
      <c r="R7" s="20" t="n">
        <v>0.87280108</v>
      </c>
    </row>
    <row r="8" spans="1:18">
      <c r="A8" s="15" t="s">
        <v>350</v>
      </c>
      <c r="B8" s="17" t="n">
        <v>3564</v>
      </c>
      <c r="C8" s="18">
        <f>(3116.0/B8*100)</f>
        <v/>
      </c>
      <c r="D8" s="19" t="n">
        <v>448</v>
      </c>
      <c r="E8" s="18" t="n">
        <v>50.53946945</v>
      </c>
      <c r="F8" s="20" t="n">
        <v>2.77316439</v>
      </c>
      <c r="G8" s="18" t="n">
        <v>42.19314853</v>
      </c>
      <c r="H8" s="20" t="n">
        <v>2.70031011</v>
      </c>
      <c r="I8" s="18" t="s">
        <v>349</v>
      </c>
      <c r="J8" s="20" t="s">
        <v>349</v>
      </c>
      <c r="K8" s="18" t="n">
        <v>0</v>
      </c>
      <c r="L8" s="20" t="n">
        <v>0</v>
      </c>
      <c r="M8" s="18" t="n">
        <v>0</v>
      </c>
      <c r="N8" s="20" t="n">
        <v>0</v>
      </c>
      <c r="O8" s="18" t="n">
        <v>0</v>
      </c>
      <c r="P8" s="20" t="n">
        <v>0</v>
      </c>
      <c r="Q8" s="18" t="n">
        <v>7.26738202</v>
      </c>
      <c r="R8" s="20" t="n">
        <v>1.63082153</v>
      </c>
    </row>
    <row r="9" spans="1:18">
      <c r="A9" s="15" t="s">
        <v>351</v>
      </c>
      <c r="B9" s="17" t="n">
        <v>4899</v>
      </c>
      <c r="C9" s="18">
        <f>(4165.0/B9*100)</f>
        <v/>
      </c>
      <c r="D9" s="19" t="n">
        <v>734</v>
      </c>
      <c r="E9" s="18" t="n">
        <v>57.17984853</v>
      </c>
      <c r="F9" s="20" t="n">
        <v>2.23594066</v>
      </c>
      <c r="G9" s="18" t="n">
        <v>34.2442974</v>
      </c>
      <c r="H9" s="20" t="n">
        <v>2.51882662</v>
      </c>
      <c r="I9" s="18" t="s">
        <v>349</v>
      </c>
      <c r="J9" s="20" t="s">
        <v>349</v>
      </c>
      <c r="K9" s="18" t="n">
        <v>0.59365354</v>
      </c>
      <c r="L9" s="20" t="n">
        <v>0.26662903</v>
      </c>
      <c r="M9" s="18" t="n">
        <v>0</v>
      </c>
      <c r="N9" s="20" t="n">
        <v>0</v>
      </c>
      <c r="O9" s="18" t="n">
        <v>0</v>
      </c>
      <c r="P9" s="20" t="n">
        <v>0</v>
      </c>
      <c r="Q9" s="18" t="n">
        <v>7.98220053</v>
      </c>
      <c r="R9" s="20" t="n">
        <v>1.29927112</v>
      </c>
    </row>
    <row r="10" spans="1:18">
      <c r="A10" s="15" t="s">
        <v>352</v>
      </c>
      <c r="B10" s="17" t="n">
        <v>10036</v>
      </c>
      <c r="C10" s="18">
        <f>(8804.0/B10*100)</f>
        <v/>
      </c>
      <c r="D10" s="19" t="n">
        <v>1232</v>
      </c>
      <c r="E10" s="18" t="n">
        <v>56.99020971</v>
      </c>
      <c r="F10" s="20" t="n">
        <v>1.97755502</v>
      </c>
      <c r="G10" s="18" t="n">
        <v>39.99251791</v>
      </c>
      <c r="H10" s="20" t="n">
        <v>1.84956527</v>
      </c>
      <c r="I10" s="18" t="s">
        <v>349</v>
      </c>
      <c r="J10" s="20" t="s">
        <v>349</v>
      </c>
      <c r="K10" s="18" t="n">
        <v>0.23342067</v>
      </c>
      <c r="L10" s="20" t="n">
        <v>0.10539177</v>
      </c>
      <c r="M10" s="18" t="n">
        <v>0</v>
      </c>
      <c r="N10" s="20" t="n">
        <v>0</v>
      </c>
      <c r="O10" s="18" t="n">
        <v>0</v>
      </c>
      <c r="P10" s="20" t="n">
        <v>0</v>
      </c>
      <c r="Q10" s="18" t="n">
        <v>2.78385172</v>
      </c>
      <c r="R10" s="20" t="n">
        <v>0.5456569</v>
      </c>
    </row>
    <row r="11" spans="1:18">
      <c r="A11" s="15" t="s">
        <v>353</v>
      </c>
      <c r="B11" s="17" t="n">
        <v>3553</v>
      </c>
      <c r="C11" s="18">
        <f>(3132.0/B11*100)</f>
        <v/>
      </c>
      <c r="D11" s="19" t="n">
        <v>421</v>
      </c>
      <c r="E11" s="18" t="n">
        <v>68.30169308000001</v>
      </c>
      <c r="F11" s="20" t="n">
        <v>2.28739906</v>
      </c>
      <c r="G11" s="18" t="n">
        <v>19.00556105</v>
      </c>
      <c r="H11" s="20" t="n">
        <v>2.30261147</v>
      </c>
      <c r="I11" s="18" t="s">
        <v>349</v>
      </c>
      <c r="J11" s="20" t="s">
        <v>349</v>
      </c>
      <c r="K11" s="18" t="n">
        <v>0</v>
      </c>
      <c r="L11" s="20" t="n">
        <v>0</v>
      </c>
      <c r="M11" s="18" t="n">
        <v>0</v>
      </c>
      <c r="N11" s="20" t="n">
        <v>0</v>
      </c>
      <c r="O11" s="18" t="n">
        <v>0</v>
      </c>
      <c r="P11" s="20" t="n">
        <v>0</v>
      </c>
      <c r="Q11" s="18" t="n">
        <v>12.69274587</v>
      </c>
      <c r="R11" s="20" t="n">
        <v>1.88927188</v>
      </c>
    </row>
    <row r="12" spans="1:18">
      <c r="A12" s="15" t="s">
        <v>354</v>
      </c>
      <c r="B12" s="17" t="n">
        <v>3472</v>
      </c>
      <c r="C12" s="18">
        <f>(2998.0/B12*100)</f>
        <v/>
      </c>
      <c r="D12" s="19" t="n">
        <v>474</v>
      </c>
      <c r="E12" s="18" t="n">
        <v>56.98161876</v>
      </c>
      <c r="F12" s="20" t="n">
        <v>2.78274072</v>
      </c>
      <c r="G12" s="18" t="n">
        <v>34.6781767</v>
      </c>
      <c r="H12" s="20" t="n">
        <v>3.3551687</v>
      </c>
      <c r="I12" s="18" t="s">
        <v>349</v>
      </c>
      <c r="J12" s="20" t="s">
        <v>349</v>
      </c>
      <c r="K12" s="18" t="n">
        <v>0</v>
      </c>
      <c r="L12" s="20" t="n">
        <v>0</v>
      </c>
      <c r="M12" s="18" t="n">
        <v>0</v>
      </c>
      <c r="N12" s="20" t="n">
        <v>0</v>
      </c>
      <c r="O12" s="18" t="n">
        <v>0</v>
      </c>
      <c r="P12" s="20" t="n">
        <v>0</v>
      </c>
      <c r="Q12" s="18" t="n">
        <v>8.34020454</v>
      </c>
      <c r="R12" s="20" t="n">
        <v>2.00945019</v>
      </c>
    </row>
    <row r="13" spans="1:18">
      <c r="A13" s="15" t="s">
        <v>355</v>
      </c>
      <c r="B13" s="17" t="n">
        <v>3559</v>
      </c>
      <c r="C13" s="18">
        <f>(2964.0/B13*100)</f>
        <v/>
      </c>
      <c r="D13" s="19" t="n">
        <v>595</v>
      </c>
      <c r="E13" s="18" t="n">
        <v>57.30462824</v>
      </c>
      <c r="F13" s="20" t="n">
        <v>2.75231686</v>
      </c>
      <c r="G13" s="18" t="n">
        <v>37.56865633</v>
      </c>
      <c r="H13" s="20" t="n">
        <v>2.88235743</v>
      </c>
      <c r="I13" s="18" t="s">
        <v>349</v>
      </c>
      <c r="J13" s="20" t="s">
        <v>349</v>
      </c>
      <c r="K13" s="18" t="n">
        <v>0.5584</v>
      </c>
      <c r="L13" s="20" t="n">
        <v>0.31118318</v>
      </c>
      <c r="M13" s="18" t="n">
        <v>0</v>
      </c>
      <c r="N13" s="20" t="n">
        <v>0</v>
      </c>
      <c r="O13" s="18" t="n">
        <v>0</v>
      </c>
      <c r="P13" s="20" t="n">
        <v>0</v>
      </c>
      <c r="Q13" s="18" t="n">
        <v>4.56831544</v>
      </c>
      <c r="R13" s="20" t="n">
        <v>0.96032917</v>
      </c>
    </row>
    <row r="14" spans="1:18">
      <c r="A14" s="15" t="s">
        <v>356</v>
      </c>
      <c r="B14" s="17" t="n">
        <v>2799</v>
      </c>
      <c r="C14" s="18">
        <f>(2450.0/B14*100)</f>
        <v/>
      </c>
      <c r="D14" s="19" t="n">
        <v>349</v>
      </c>
      <c r="E14" s="18" t="n">
        <v>53.99146999</v>
      </c>
      <c r="F14" s="20" t="n">
        <v>3.27202301</v>
      </c>
      <c r="G14" s="18" t="n">
        <v>42.40637695</v>
      </c>
      <c r="H14" s="20" t="n">
        <v>3.1507577</v>
      </c>
      <c r="I14" s="18" t="s">
        <v>349</v>
      </c>
      <c r="J14" s="20" t="s">
        <v>349</v>
      </c>
      <c r="K14" s="18" t="n">
        <v>0</v>
      </c>
      <c r="L14" s="20" t="n">
        <v>0</v>
      </c>
      <c r="M14" s="18" t="n">
        <v>0</v>
      </c>
      <c r="N14" s="20" t="n">
        <v>0</v>
      </c>
      <c r="O14" s="18" t="n">
        <v>0</v>
      </c>
      <c r="P14" s="20" t="n">
        <v>0</v>
      </c>
      <c r="Q14" s="18" t="n">
        <v>3.60215306</v>
      </c>
      <c r="R14" s="20" t="n">
        <v>1.23165249</v>
      </c>
    </row>
    <row r="15" spans="1:18">
      <c r="A15" s="15" t="s">
        <v>357</v>
      </c>
      <c r="B15" s="17" t="n">
        <v>3019</v>
      </c>
      <c r="C15" s="18">
        <f>(2628.0/B15*100)</f>
        <v/>
      </c>
      <c r="D15" s="19" t="n">
        <v>391</v>
      </c>
      <c r="E15" s="18" t="n">
        <v>70.19838546</v>
      </c>
      <c r="F15" s="20" t="n">
        <v>2.39464541</v>
      </c>
      <c r="G15" s="18" t="n">
        <v>21.46309933</v>
      </c>
      <c r="H15" s="20" t="n">
        <v>2.02086061</v>
      </c>
      <c r="I15" s="18" t="s">
        <v>349</v>
      </c>
      <c r="J15" s="20" t="s">
        <v>349</v>
      </c>
      <c r="K15" s="18" t="n">
        <v>0.94484011</v>
      </c>
      <c r="L15" s="20" t="n">
        <v>0.53901492</v>
      </c>
      <c r="M15" s="18" t="n">
        <v>0</v>
      </c>
      <c r="N15" s="20" t="n">
        <v>0</v>
      </c>
      <c r="O15" s="18" t="n">
        <v>0</v>
      </c>
      <c r="P15" s="20" t="n">
        <v>0</v>
      </c>
      <c r="Q15" s="18" t="n">
        <v>7.3936751</v>
      </c>
      <c r="R15" s="20" t="n">
        <v>1.43213396</v>
      </c>
    </row>
    <row r="16" spans="1:18">
      <c r="A16" s="15" t="s">
        <v>358</v>
      </c>
      <c r="B16" s="17" t="n">
        <v>2997</v>
      </c>
      <c r="C16" s="18">
        <f>(2643.0/B16*100)</f>
        <v/>
      </c>
      <c r="D16" s="19" t="n">
        <v>354</v>
      </c>
      <c r="E16" s="18" t="n">
        <v>45.62306078</v>
      </c>
      <c r="F16" s="20" t="n">
        <v>3.05112691</v>
      </c>
      <c r="G16" s="18" t="n">
        <v>44.95819459</v>
      </c>
      <c r="H16" s="20" t="n">
        <v>3.0345173</v>
      </c>
      <c r="I16" s="18" t="s">
        <v>349</v>
      </c>
      <c r="J16" s="20" t="s">
        <v>349</v>
      </c>
      <c r="K16" s="18" t="n">
        <v>1.38656966</v>
      </c>
      <c r="L16" s="20" t="n">
        <v>0.58436717</v>
      </c>
      <c r="M16" s="18" t="n">
        <v>0</v>
      </c>
      <c r="N16" s="20" t="n">
        <v>0</v>
      </c>
      <c r="O16" s="18" t="n">
        <v>0</v>
      </c>
      <c r="P16" s="20" t="n">
        <v>0</v>
      </c>
      <c r="Q16" s="18" t="n">
        <v>8.03217497</v>
      </c>
      <c r="R16" s="20" t="n">
        <v>1.82474972</v>
      </c>
    </row>
    <row r="17" spans="1:18">
      <c r="A17" s="15" t="s">
        <v>359</v>
      </c>
      <c r="B17" s="17" t="n">
        <v>3307</v>
      </c>
      <c r="C17" s="18">
        <f>(2841.0/B17*100)</f>
        <v/>
      </c>
      <c r="D17" s="19" t="n">
        <v>466</v>
      </c>
      <c r="E17" s="18" t="n">
        <v>49.69507243</v>
      </c>
      <c r="F17" s="20" t="n">
        <v>2.32760845</v>
      </c>
      <c r="G17" s="18" t="n">
        <v>38.68633689</v>
      </c>
      <c r="H17" s="20" t="n">
        <v>2.39710054</v>
      </c>
      <c r="I17" s="18" t="s">
        <v>349</v>
      </c>
      <c r="J17" s="20" t="s">
        <v>349</v>
      </c>
      <c r="K17" s="18" t="n">
        <v>1.8319838</v>
      </c>
      <c r="L17" s="20" t="n">
        <v>0.83463621</v>
      </c>
      <c r="M17" s="18" t="n">
        <v>0</v>
      </c>
      <c r="N17" s="20" t="n">
        <v>0</v>
      </c>
      <c r="O17" s="18" t="n">
        <v>0</v>
      </c>
      <c r="P17" s="20" t="n">
        <v>0</v>
      </c>
      <c r="Q17" s="18" t="n">
        <v>9.78660689</v>
      </c>
      <c r="R17" s="20" t="n">
        <v>1.31715354</v>
      </c>
    </row>
    <row r="18" spans="1:18">
      <c r="A18" s="15" t="s">
        <v>360</v>
      </c>
      <c r="B18" s="17" t="n">
        <v>2826</v>
      </c>
      <c r="C18" s="18">
        <f>(2477.0/B18*100)</f>
        <v/>
      </c>
      <c r="D18" s="19" t="n">
        <v>349</v>
      </c>
      <c r="E18" s="18" t="n">
        <v>63.05018305</v>
      </c>
      <c r="F18" s="20" t="n">
        <v>2.81966901</v>
      </c>
      <c r="G18" s="18" t="n">
        <v>28.70735947</v>
      </c>
      <c r="H18" s="20" t="n">
        <v>3.1261299</v>
      </c>
      <c r="I18" s="18" t="s">
        <v>349</v>
      </c>
      <c r="J18" s="20" t="s">
        <v>349</v>
      </c>
      <c r="K18" s="18" t="n">
        <v>1.26749731</v>
      </c>
      <c r="L18" s="20" t="n">
        <v>0.74715737</v>
      </c>
      <c r="M18" s="18" t="n">
        <v>0</v>
      </c>
      <c r="N18" s="20" t="n">
        <v>0</v>
      </c>
      <c r="O18" s="18" t="n">
        <v>0</v>
      </c>
      <c r="P18" s="20" t="n">
        <v>0</v>
      </c>
      <c r="Q18" s="18" t="n">
        <v>6.97496017</v>
      </c>
      <c r="R18" s="20" t="n">
        <v>1.63532761</v>
      </c>
    </row>
    <row r="19" spans="1:18">
      <c r="A19" s="15" t="s">
        <v>361</v>
      </c>
      <c r="B19" s="17" t="n">
        <v>2808</v>
      </c>
      <c r="C19" s="18">
        <f>(2454.0/B19*100)</f>
        <v/>
      </c>
      <c r="D19" s="19" t="n">
        <v>354</v>
      </c>
      <c r="E19" s="18" t="n">
        <v>65.47581083</v>
      </c>
      <c r="F19" s="20" t="n">
        <v>2.85653124</v>
      </c>
      <c r="G19" s="18" t="n">
        <v>27.99575484</v>
      </c>
      <c r="H19" s="20" t="n">
        <v>2.70487835</v>
      </c>
      <c r="I19" s="18" t="s">
        <v>349</v>
      </c>
      <c r="J19" s="20" t="s">
        <v>349</v>
      </c>
      <c r="K19" s="18" t="n">
        <v>0</v>
      </c>
      <c r="L19" s="20" t="n">
        <v>0</v>
      </c>
      <c r="M19" s="18" t="n">
        <v>0</v>
      </c>
      <c r="N19" s="20" t="n">
        <v>0</v>
      </c>
      <c r="O19" s="18" t="n">
        <v>0</v>
      </c>
      <c r="P19" s="20" t="n">
        <v>0</v>
      </c>
      <c r="Q19" s="18" t="n">
        <v>6.52843433</v>
      </c>
      <c r="R19" s="20" t="n">
        <v>1.26750597</v>
      </c>
    </row>
    <row r="20" spans="1:18">
      <c r="A20" s="15" t="s">
        <v>362</v>
      </c>
      <c r="B20" s="17" t="n">
        <v>1630</v>
      </c>
      <c r="C20" s="18">
        <f>(1432.0/B20*100)</f>
        <v/>
      </c>
      <c r="D20" s="19" t="n">
        <v>198</v>
      </c>
      <c r="E20" s="18" t="n">
        <v>62.06362625</v>
      </c>
      <c r="F20" s="20" t="n">
        <v>3.43062004</v>
      </c>
      <c r="G20" s="18" t="n">
        <v>33.97595103</v>
      </c>
      <c r="H20" s="20" t="n">
        <v>3.31051598</v>
      </c>
      <c r="I20" s="18" t="s">
        <v>349</v>
      </c>
      <c r="J20" s="20" t="s">
        <v>349</v>
      </c>
      <c r="K20" s="18" t="n">
        <v>0.48050787</v>
      </c>
      <c r="L20" s="20" t="n">
        <v>0.4356691</v>
      </c>
      <c r="M20" s="18" t="n">
        <v>0</v>
      </c>
      <c r="N20" s="20" t="n">
        <v>0</v>
      </c>
      <c r="O20" s="18" t="n">
        <v>0</v>
      </c>
      <c r="P20" s="20" t="n">
        <v>0</v>
      </c>
      <c r="Q20" s="18" t="n">
        <v>3.47991486</v>
      </c>
      <c r="R20" s="20" t="n">
        <v>1.16930184</v>
      </c>
    </row>
    <row r="21" spans="1:18">
      <c r="A21" s="15" t="s">
        <v>363</v>
      </c>
      <c r="B21" s="17" t="n">
        <v>2908</v>
      </c>
      <c r="C21" s="18">
        <f>(2400.0/B21*100)</f>
        <v/>
      </c>
      <c r="D21" s="19" t="n">
        <v>508</v>
      </c>
      <c r="E21" s="18" t="n">
        <v>56.63174704</v>
      </c>
      <c r="F21" s="20" t="n">
        <v>2.22266133</v>
      </c>
      <c r="G21" s="18" t="n">
        <v>37.14943575</v>
      </c>
      <c r="H21" s="20" t="n">
        <v>2.44091317</v>
      </c>
      <c r="I21" s="18" t="s">
        <v>349</v>
      </c>
      <c r="J21" s="20" t="s">
        <v>349</v>
      </c>
      <c r="K21" s="18" t="n">
        <v>0.30322023</v>
      </c>
      <c r="L21" s="20" t="n">
        <v>0.21454015</v>
      </c>
      <c r="M21" s="18" t="n">
        <v>0</v>
      </c>
      <c r="N21" s="20" t="n">
        <v>0</v>
      </c>
      <c r="O21" s="18" t="n">
        <v>0</v>
      </c>
      <c r="P21" s="20" t="n">
        <v>0</v>
      </c>
      <c r="Q21" s="18" t="n">
        <v>5.91559698</v>
      </c>
      <c r="R21" s="20" t="n">
        <v>1.02855674</v>
      </c>
    </row>
    <row r="22" spans="1:18">
      <c r="A22" s="15" t="s">
        <v>364</v>
      </c>
      <c r="B22" s="17" t="n">
        <v>2931</v>
      </c>
      <c r="C22" s="18">
        <f>(2561.0/B22*100)</f>
        <v/>
      </c>
      <c r="D22" s="19" t="n">
        <v>370</v>
      </c>
      <c r="E22" s="18" t="n">
        <v>50.25241082</v>
      </c>
      <c r="F22" s="20" t="n">
        <v>3.07133161</v>
      </c>
      <c r="G22" s="18" t="n">
        <v>42.40135645</v>
      </c>
      <c r="H22" s="20" t="n">
        <v>3.64785441</v>
      </c>
      <c r="I22" s="18" t="s">
        <v>349</v>
      </c>
      <c r="J22" s="20" t="s">
        <v>349</v>
      </c>
      <c r="K22" s="18" t="n">
        <v>0.7301274</v>
      </c>
      <c r="L22" s="20" t="n">
        <v>0.50644556</v>
      </c>
      <c r="M22" s="18" t="n">
        <v>0</v>
      </c>
      <c r="N22" s="20" t="n">
        <v>0</v>
      </c>
      <c r="O22" s="18" t="n">
        <v>0</v>
      </c>
      <c r="P22" s="20" t="n">
        <v>0</v>
      </c>
      <c r="Q22" s="18" t="n">
        <v>6.61610534</v>
      </c>
      <c r="R22" s="20" t="n">
        <v>1.6888425</v>
      </c>
    </row>
    <row r="23" spans="1:18">
      <c r="A23" s="15" t="s">
        <v>365</v>
      </c>
      <c r="B23" s="17" t="n">
        <v>5791</v>
      </c>
      <c r="C23" s="18">
        <f>(5090.0/B23*100)</f>
        <v/>
      </c>
      <c r="D23" s="19" t="n">
        <v>701</v>
      </c>
      <c r="E23" s="18" t="n">
        <v>50.50103987</v>
      </c>
      <c r="F23" s="20" t="n">
        <v>2.68221434</v>
      </c>
      <c r="G23" s="18" t="n">
        <v>40.03184441</v>
      </c>
      <c r="H23" s="20" t="n">
        <v>2.29885021</v>
      </c>
      <c r="I23" s="18" t="s">
        <v>349</v>
      </c>
      <c r="J23" s="20" t="s">
        <v>349</v>
      </c>
      <c r="K23" s="18" t="n">
        <v>0.22931106</v>
      </c>
      <c r="L23" s="20" t="n">
        <v>0.22872687</v>
      </c>
      <c r="M23" s="18" t="n">
        <v>0</v>
      </c>
      <c r="N23" s="20" t="n">
        <v>0</v>
      </c>
      <c r="O23" s="18" t="n">
        <v>0</v>
      </c>
      <c r="P23" s="20" t="n">
        <v>0</v>
      </c>
      <c r="Q23" s="18" t="n">
        <v>9.23780466</v>
      </c>
      <c r="R23" s="20" t="n">
        <v>1.67371323</v>
      </c>
    </row>
    <row r="24" spans="1:18">
      <c r="A24" s="15" t="s">
        <v>366</v>
      </c>
      <c r="B24" s="17" t="n">
        <v>3338</v>
      </c>
      <c r="C24" s="18">
        <f>(2938.0/B24*100)</f>
        <v/>
      </c>
      <c r="D24" s="19" t="n">
        <v>400</v>
      </c>
      <c r="E24" s="18" t="n">
        <v>30.18662864</v>
      </c>
      <c r="F24" s="20" t="n">
        <v>2.53939098</v>
      </c>
      <c r="G24" s="18" t="n">
        <v>62.64858343</v>
      </c>
      <c r="H24" s="20" t="n">
        <v>2.51807184</v>
      </c>
      <c r="I24" s="18" t="s">
        <v>349</v>
      </c>
      <c r="J24" s="20" t="s">
        <v>349</v>
      </c>
      <c r="K24" s="18" t="n">
        <v>0.17720359</v>
      </c>
      <c r="L24" s="20" t="n">
        <v>0.17756785</v>
      </c>
      <c r="M24" s="18" t="n">
        <v>0</v>
      </c>
      <c r="N24" s="20" t="n">
        <v>0</v>
      </c>
      <c r="O24" s="18" t="n">
        <v>0</v>
      </c>
      <c r="P24" s="20" t="n">
        <v>0</v>
      </c>
      <c r="Q24" s="18" t="n">
        <v>6.98758434</v>
      </c>
      <c r="R24" s="20" t="n">
        <v>1.25977201</v>
      </c>
    </row>
    <row r="25" spans="1:18">
      <c r="A25" s="15" t="s">
        <v>367</v>
      </c>
      <c r="B25" s="17" t="n">
        <v>2912</v>
      </c>
      <c r="C25" s="18">
        <f>(2539.0/B25*100)</f>
        <v/>
      </c>
      <c r="D25" s="19" t="n">
        <v>373</v>
      </c>
      <c r="E25" s="18" t="n">
        <v>53.2046947</v>
      </c>
      <c r="F25" s="20" t="n">
        <v>2.82146492</v>
      </c>
      <c r="G25" s="18" t="n">
        <v>39.91353979</v>
      </c>
      <c r="H25" s="20" t="n">
        <v>3.0238299</v>
      </c>
      <c r="I25" s="18" t="s">
        <v>349</v>
      </c>
      <c r="J25" s="20" t="s">
        <v>349</v>
      </c>
      <c r="K25" s="18" t="n">
        <v>1.38420622</v>
      </c>
      <c r="L25" s="20" t="n">
        <v>0.62552061</v>
      </c>
      <c r="M25" s="18" t="n">
        <v>0</v>
      </c>
      <c r="N25" s="20" t="n">
        <v>0</v>
      </c>
      <c r="O25" s="18" t="n">
        <v>0</v>
      </c>
      <c r="P25" s="20" t="n">
        <v>0</v>
      </c>
      <c r="Q25" s="18" t="n">
        <v>5.49755929</v>
      </c>
      <c r="R25" s="20" t="n">
        <v>1.19925293</v>
      </c>
    </row>
    <row r="26" spans="1:18">
      <c r="A26" s="15" t="s">
        <v>368</v>
      </c>
      <c r="B26" s="17" t="n">
        <v>2450</v>
      </c>
      <c r="C26" s="18">
        <f>(2134.0/B26*100)</f>
        <v/>
      </c>
      <c r="D26" s="19" t="n">
        <v>316</v>
      </c>
      <c r="E26" s="18" t="n">
        <v>66.22945412</v>
      </c>
      <c r="F26" s="20" t="n">
        <v>2.891173</v>
      </c>
      <c r="G26" s="18" t="n">
        <v>29.5447233</v>
      </c>
      <c r="H26" s="20" t="n">
        <v>2.713478</v>
      </c>
      <c r="I26" s="18" t="s">
        <v>349</v>
      </c>
      <c r="J26" s="20" t="s">
        <v>349</v>
      </c>
      <c r="K26" s="18" t="n">
        <v>0</v>
      </c>
      <c r="L26" s="20" t="n">
        <v>0</v>
      </c>
      <c r="M26" s="18" t="n">
        <v>0</v>
      </c>
      <c r="N26" s="20" t="n">
        <v>0</v>
      </c>
      <c r="O26" s="18" t="n">
        <v>0</v>
      </c>
      <c r="P26" s="20" t="n">
        <v>0</v>
      </c>
      <c r="Q26" s="18" t="n">
        <v>4.22582257</v>
      </c>
      <c r="R26" s="20" t="n">
        <v>1.10716473</v>
      </c>
    </row>
    <row r="27" spans="1:18">
      <c r="A27" s="15" t="s">
        <v>369</v>
      </c>
      <c r="B27" s="17" t="n">
        <v>2616</v>
      </c>
      <c r="C27" s="18">
        <f>(2306.0/B27*100)</f>
        <v/>
      </c>
      <c r="D27" s="19" t="n">
        <v>310</v>
      </c>
      <c r="E27" s="18" t="n">
        <v>57.45514022</v>
      </c>
      <c r="F27" s="20" t="n">
        <v>2.84271702</v>
      </c>
      <c r="G27" s="18" t="n">
        <v>36.32344528</v>
      </c>
      <c r="H27" s="20" t="n">
        <v>2.62561738</v>
      </c>
      <c r="I27" s="18" t="s">
        <v>349</v>
      </c>
      <c r="J27" s="20" t="s">
        <v>349</v>
      </c>
      <c r="K27" s="18" t="n">
        <v>0.64474451</v>
      </c>
      <c r="L27" s="20" t="n">
        <v>0.45310908</v>
      </c>
      <c r="M27" s="18" t="n">
        <v>0</v>
      </c>
      <c r="N27" s="20" t="n">
        <v>0</v>
      </c>
      <c r="O27" s="18" t="n">
        <v>0</v>
      </c>
      <c r="P27" s="20" t="n">
        <v>0</v>
      </c>
      <c r="Q27" s="18" t="n">
        <v>5.57666999</v>
      </c>
      <c r="R27" s="20" t="n">
        <v>1.29249717</v>
      </c>
    </row>
    <row r="28" spans="1:18">
      <c r="A28" s="15" t="s">
        <v>370</v>
      </c>
      <c r="B28" s="17" t="n">
        <v>3765</v>
      </c>
      <c r="C28" s="18">
        <f>(3282.0/B28*100)</f>
        <v/>
      </c>
      <c r="D28" s="19" t="n">
        <v>483</v>
      </c>
      <c r="E28" s="18" t="n">
        <v>84.86746857999999</v>
      </c>
      <c r="F28" s="20" t="n">
        <v>1.7671686</v>
      </c>
      <c r="G28" s="18" t="n">
        <v>11.32504821</v>
      </c>
      <c r="H28" s="20" t="n">
        <v>1.48328599</v>
      </c>
      <c r="I28" s="18" t="s">
        <v>349</v>
      </c>
      <c r="J28" s="20" t="s">
        <v>349</v>
      </c>
      <c r="K28" s="18" t="n">
        <v>0.41672827</v>
      </c>
      <c r="L28" s="20" t="n">
        <v>0.40219636</v>
      </c>
      <c r="M28" s="18" t="n">
        <v>0</v>
      </c>
      <c r="N28" s="20" t="n">
        <v>0</v>
      </c>
      <c r="O28" s="18" t="n">
        <v>0</v>
      </c>
      <c r="P28" s="20" t="n">
        <v>0</v>
      </c>
      <c r="Q28" s="18" t="n">
        <v>3.39075494</v>
      </c>
      <c r="R28" s="20" t="n">
        <v>0.93930678</v>
      </c>
    </row>
    <row r="29" spans="1:18">
      <c r="A29" s="15" t="s">
        <v>371</v>
      </c>
      <c r="B29" s="17" t="n">
        <v>2685</v>
      </c>
      <c r="C29" s="18">
        <f>(2279.0/B29*100)</f>
        <v/>
      </c>
      <c r="D29" s="19" t="n">
        <v>406</v>
      </c>
      <c r="E29" s="18" t="n">
        <v>55.61992497</v>
      </c>
      <c r="F29" s="20" t="n">
        <v>2.5055427</v>
      </c>
      <c r="G29" s="18" t="n">
        <v>39.11688031</v>
      </c>
      <c r="H29" s="20" t="n">
        <v>2.9605468</v>
      </c>
      <c r="I29" s="18" t="s">
        <v>349</v>
      </c>
      <c r="J29" s="20" t="s">
        <v>349</v>
      </c>
      <c r="K29" s="18" t="n">
        <v>1.28500477</v>
      </c>
      <c r="L29" s="20" t="n">
        <v>0.85335805</v>
      </c>
      <c r="M29" s="18" t="n">
        <v>0</v>
      </c>
      <c r="N29" s="20" t="n">
        <v>0</v>
      </c>
      <c r="O29" s="18" t="n">
        <v>0</v>
      </c>
      <c r="P29" s="20" t="n">
        <v>0</v>
      </c>
      <c r="Q29" s="18" t="n">
        <v>3.97818994</v>
      </c>
      <c r="R29" s="20" t="n">
        <v>0.93718514</v>
      </c>
    </row>
    <row r="30" spans="1:18">
      <c r="A30" s="15" t="s">
        <v>372</v>
      </c>
      <c r="B30" s="17" t="n">
        <v>2263</v>
      </c>
      <c r="C30" s="18">
        <f>(2001.0/B30*100)</f>
        <v/>
      </c>
      <c r="D30" s="19" t="n">
        <v>262</v>
      </c>
      <c r="E30" s="18" t="n">
        <v>53.34265369</v>
      </c>
      <c r="F30" s="20" t="n">
        <v>2.91625712</v>
      </c>
      <c r="G30" s="18" t="n">
        <v>40.89086773</v>
      </c>
      <c r="H30" s="20" t="n">
        <v>3.00155145</v>
      </c>
      <c r="I30" s="18" t="s">
        <v>349</v>
      </c>
      <c r="J30" s="20" t="s">
        <v>349</v>
      </c>
      <c r="K30" s="18" t="n">
        <v>0</v>
      </c>
      <c r="L30" s="20" t="n">
        <v>0</v>
      </c>
      <c r="M30" s="18" t="n">
        <v>0</v>
      </c>
      <c r="N30" s="20" t="n">
        <v>0</v>
      </c>
      <c r="O30" s="18" t="n">
        <v>0</v>
      </c>
      <c r="P30" s="20" t="n">
        <v>0</v>
      </c>
      <c r="Q30" s="18" t="n">
        <v>5.76647858</v>
      </c>
      <c r="R30" s="20" t="n">
        <v>1.72485023</v>
      </c>
    </row>
    <row r="31" spans="1:18">
      <c r="A31" s="15" t="s">
        <v>373</v>
      </c>
      <c r="B31" s="17" t="n">
        <v>2750</v>
      </c>
      <c r="C31" s="18">
        <f>(2421.0/B31*100)</f>
        <v/>
      </c>
      <c r="D31" s="19" t="n">
        <v>329</v>
      </c>
      <c r="E31" s="18" t="n">
        <v>55.76006574</v>
      </c>
      <c r="F31" s="20" t="n">
        <v>3.0341401</v>
      </c>
      <c r="G31" s="18" t="n">
        <v>37.50213826</v>
      </c>
      <c r="H31" s="20" t="n">
        <v>3.09631669</v>
      </c>
      <c r="I31" s="18" t="s">
        <v>349</v>
      </c>
      <c r="J31" s="20" t="s">
        <v>349</v>
      </c>
      <c r="K31" s="18" t="n">
        <v>0.29809883</v>
      </c>
      <c r="L31" s="20" t="n">
        <v>0.32178592</v>
      </c>
      <c r="M31" s="18" t="n">
        <v>0</v>
      </c>
      <c r="N31" s="20" t="n">
        <v>0</v>
      </c>
      <c r="O31" s="18" t="n">
        <v>0</v>
      </c>
      <c r="P31" s="20" t="n">
        <v>0</v>
      </c>
      <c r="Q31" s="18" t="n">
        <v>6.43969717</v>
      </c>
      <c r="R31" s="20" t="n">
        <v>1.31169712</v>
      </c>
    </row>
    <row r="32" spans="1:18">
      <c r="A32" s="15" t="s">
        <v>374</v>
      </c>
      <c r="B32" s="17" t="n">
        <v>2269</v>
      </c>
      <c r="C32" s="18">
        <f>(1890.0/B32*100)</f>
        <v/>
      </c>
      <c r="D32" s="19" t="n">
        <v>379</v>
      </c>
      <c r="E32" s="18" t="n">
        <v>53.44107187</v>
      </c>
      <c r="F32" s="20" t="n">
        <v>2.50408391</v>
      </c>
      <c r="G32" s="18" t="n">
        <v>43.3914004</v>
      </c>
      <c r="H32" s="20" t="n">
        <v>2.57762382</v>
      </c>
      <c r="I32" s="18" t="s">
        <v>349</v>
      </c>
      <c r="J32" s="20" t="s">
        <v>349</v>
      </c>
      <c r="K32" s="18" t="n">
        <v>0</v>
      </c>
      <c r="L32" s="20" t="n">
        <v>0</v>
      </c>
      <c r="M32" s="18" t="n">
        <v>0</v>
      </c>
      <c r="N32" s="20" t="n">
        <v>0</v>
      </c>
      <c r="O32" s="18" t="n">
        <v>0</v>
      </c>
      <c r="P32" s="20" t="n">
        <v>0</v>
      </c>
      <c r="Q32" s="18" t="n">
        <v>3.16752773</v>
      </c>
      <c r="R32" s="20" t="n">
        <v>0.90870183</v>
      </c>
    </row>
    <row r="33" spans="1:18">
      <c r="A33" s="15" t="s">
        <v>375</v>
      </c>
      <c r="B33" s="17" t="n">
        <v>3674</v>
      </c>
      <c r="C33" s="18">
        <f>(3218.0/B33*100)</f>
        <v/>
      </c>
      <c r="D33" s="19" t="n">
        <v>456</v>
      </c>
      <c r="E33" s="18" t="n">
        <v>61.17087542</v>
      </c>
      <c r="F33" s="20" t="n">
        <v>2.53967675</v>
      </c>
      <c r="G33" s="18" t="n">
        <v>32.96701514</v>
      </c>
      <c r="H33" s="20" t="n">
        <v>2.56313235</v>
      </c>
      <c r="I33" s="18" t="s">
        <v>349</v>
      </c>
      <c r="J33" s="20" t="s">
        <v>349</v>
      </c>
      <c r="K33" s="18" t="n">
        <v>0.3178389</v>
      </c>
      <c r="L33" s="20" t="n">
        <v>0.27827216</v>
      </c>
      <c r="M33" s="18" t="n">
        <v>0</v>
      </c>
      <c r="N33" s="20" t="n">
        <v>0</v>
      </c>
      <c r="O33" s="18" t="n">
        <v>0</v>
      </c>
      <c r="P33" s="20" t="n">
        <v>0</v>
      </c>
      <c r="Q33" s="18" t="n">
        <v>5.54427054</v>
      </c>
      <c r="R33" s="20" t="n">
        <v>1.33901082</v>
      </c>
    </row>
    <row r="34" spans="1:18">
      <c r="A34" s="15" t="s">
        <v>376</v>
      </c>
      <c r="B34" s="17" t="n">
        <v>3315</v>
      </c>
      <c r="C34" s="18">
        <f>(2858.0/B34*100)</f>
        <v/>
      </c>
      <c r="D34" s="19" t="n">
        <v>457</v>
      </c>
      <c r="E34" s="18" t="n">
        <v>69.32368277</v>
      </c>
      <c r="F34" s="20" t="n">
        <v>2.62208896</v>
      </c>
      <c r="G34" s="18" t="n">
        <v>25.00434882</v>
      </c>
      <c r="H34" s="20" t="n">
        <v>2.72219875</v>
      </c>
      <c r="I34" s="18" t="s">
        <v>349</v>
      </c>
      <c r="J34" s="20" t="s">
        <v>349</v>
      </c>
      <c r="K34" s="18" t="n">
        <v>0</v>
      </c>
      <c r="L34" s="20" t="n">
        <v>0</v>
      </c>
      <c r="M34" s="18" t="n">
        <v>0</v>
      </c>
      <c r="N34" s="20" t="n">
        <v>0</v>
      </c>
      <c r="O34" s="18" t="n">
        <v>0</v>
      </c>
      <c r="P34" s="20" t="n">
        <v>0</v>
      </c>
      <c r="Q34" s="18" t="n">
        <v>5.67196841</v>
      </c>
      <c r="R34" s="20" t="n">
        <v>1.04618414</v>
      </c>
    </row>
    <row r="35" spans="1:18">
      <c r="A35" s="15" t="s">
        <v>377</v>
      </c>
      <c r="B35" s="17" t="n">
        <v>3505</v>
      </c>
      <c r="C35" s="18">
        <f>(2996.0/B35*100)</f>
        <v/>
      </c>
      <c r="D35" s="19" t="n">
        <v>509</v>
      </c>
      <c r="E35" s="18" t="n">
        <v>54.81743328</v>
      </c>
      <c r="F35" s="20" t="n">
        <v>3.08363088</v>
      </c>
      <c r="G35" s="18" t="n">
        <v>40.60917286</v>
      </c>
      <c r="H35" s="20" t="n">
        <v>3.08897465</v>
      </c>
      <c r="I35" s="18" t="s">
        <v>349</v>
      </c>
      <c r="J35" s="20" t="s">
        <v>349</v>
      </c>
      <c r="K35" s="18" t="n">
        <v>0</v>
      </c>
      <c r="L35" s="20" t="n">
        <v>0</v>
      </c>
      <c r="M35" s="18" t="n">
        <v>0</v>
      </c>
      <c r="N35" s="20" t="n">
        <v>0</v>
      </c>
      <c r="O35" s="18" t="n">
        <v>0</v>
      </c>
      <c r="P35" s="20" t="n">
        <v>0</v>
      </c>
      <c r="Q35" s="18" t="n">
        <v>4.57339386</v>
      </c>
      <c r="R35" s="20" t="n">
        <v>1.12234598</v>
      </c>
    </row>
    <row r="36" spans="1:18">
      <c r="A36" s="15" t="s">
        <v>378</v>
      </c>
      <c r="B36" s="17" t="n">
        <v>3332</v>
      </c>
      <c r="C36" s="18">
        <f>(2936.0/B36*100)</f>
        <v/>
      </c>
      <c r="D36" s="19" t="n">
        <v>396</v>
      </c>
      <c r="E36" s="18" t="n">
        <v>61.95646869</v>
      </c>
      <c r="F36" s="20" t="n">
        <v>2.5819603</v>
      </c>
      <c r="G36" s="18" t="n">
        <v>29.93342509</v>
      </c>
      <c r="H36" s="20" t="n">
        <v>2.79853383</v>
      </c>
      <c r="I36" s="18" t="s">
        <v>349</v>
      </c>
      <c r="J36" s="20" t="s">
        <v>349</v>
      </c>
      <c r="K36" s="18" t="n">
        <v>0.57786106</v>
      </c>
      <c r="L36" s="20" t="n">
        <v>0.33893626</v>
      </c>
      <c r="M36" s="18" t="n">
        <v>0</v>
      </c>
      <c r="N36" s="20" t="n">
        <v>0</v>
      </c>
      <c r="O36" s="18" t="n">
        <v>0</v>
      </c>
      <c r="P36" s="20" t="n">
        <v>0</v>
      </c>
      <c r="Q36" s="18" t="n">
        <v>7.53224516</v>
      </c>
      <c r="R36" s="20" t="n">
        <v>1.53082022</v>
      </c>
    </row>
    <row r="37" spans="1:18">
      <c r="A37" s="15" t="s">
        <v>379</v>
      </c>
      <c r="B37" s="17" t="n">
        <v>2727</v>
      </c>
      <c r="C37" s="18">
        <f>(2392.0/B37*100)</f>
        <v/>
      </c>
      <c r="D37" s="19" t="n">
        <v>335</v>
      </c>
      <c r="E37" s="18" t="n">
        <v>60.20727346</v>
      </c>
      <c r="F37" s="20" t="n">
        <v>2.7321046</v>
      </c>
      <c r="G37" s="18" t="n">
        <v>30.77054116</v>
      </c>
      <c r="H37" s="20" t="n">
        <v>2.71676229</v>
      </c>
      <c r="I37" s="18" t="s">
        <v>349</v>
      </c>
      <c r="J37" s="20" t="s">
        <v>349</v>
      </c>
      <c r="K37" s="18" t="n">
        <v>0.49456232</v>
      </c>
      <c r="L37" s="20" t="n">
        <v>0.49052443</v>
      </c>
      <c r="M37" s="18" t="n">
        <v>0</v>
      </c>
      <c r="N37" s="20" t="n">
        <v>0</v>
      </c>
      <c r="O37" s="18" t="n">
        <v>0</v>
      </c>
      <c r="P37" s="20" t="n">
        <v>0</v>
      </c>
      <c r="Q37" s="18" t="n">
        <v>8.52762306</v>
      </c>
      <c r="R37" s="20" t="n">
        <v>1.54467108</v>
      </c>
    </row>
    <row r="38" spans="1:18">
      <c r="A38" s="15" t="s">
        <v>380</v>
      </c>
      <c r="B38" s="17" t="n">
        <v>3053</v>
      </c>
      <c r="C38" s="18">
        <f>(2516.0/B38*100)</f>
        <v/>
      </c>
      <c r="D38" s="19" t="n">
        <v>537</v>
      </c>
      <c r="E38" s="18" t="n">
        <v>38.67925393</v>
      </c>
      <c r="F38" s="20" t="n">
        <v>2.4834892</v>
      </c>
      <c r="G38" s="18" t="n">
        <v>55.55239739</v>
      </c>
      <c r="H38" s="20" t="n">
        <v>2.61279269</v>
      </c>
      <c r="I38" s="18" t="s">
        <v>349</v>
      </c>
      <c r="J38" s="20" t="s">
        <v>349</v>
      </c>
      <c r="K38" s="18" t="n">
        <v>0</v>
      </c>
      <c r="L38" s="20" t="n">
        <v>0</v>
      </c>
      <c r="M38" s="18" t="n">
        <v>0</v>
      </c>
      <c r="N38" s="20" t="n">
        <v>0</v>
      </c>
      <c r="O38" s="18" t="n">
        <v>0</v>
      </c>
      <c r="P38" s="20" t="n">
        <v>0</v>
      </c>
      <c r="Q38" s="18" t="n">
        <v>5.76834868</v>
      </c>
      <c r="R38" s="20" t="n">
        <v>1.26017236</v>
      </c>
    </row>
    <row r="39" spans="1:18">
      <c r="A39" s="15" t="s">
        <v>381</v>
      </c>
      <c r="B39" s="17" t="n">
        <v>2957</v>
      </c>
      <c r="C39" s="18">
        <f>(2588.0/B39*100)</f>
        <v/>
      </c>
      <c r="D39" s="19" t="n">
        <v>369</v>
      </c>
      <c r="E39" s="18" t="n">
        <v>85.60645043</v>
      </c>
      <c r="F39" s="20" t="n">
        <v>1.81099145</v>
      </c>
      <c r="G39" s="18" t="n">
        <v>9.76881833</v>
      </c>
      <c r="H39" s="20" t="n">
        <v>1.4364913</v>
      </c>
      <c r="I39" s="18" t="s">
        <v>349</v>
      </c>
      <c r="J39" s="20" t="s">
        <v>349</v>
      </c>
      <c r="K39" s="18" t="n">
        <v>0</v>
      </c>
      <c r="L39" s="20" t="n">
        <v>0</v>
      </c>
      <c r="M39" s="18" t="n">
        <v>0</v>
      </c>
      <c r="N39" s="20" t="n">
        <v>0</v>
      </c>
      <c r="O39" s="18" t="n">
        <v>0</v>
      </c>
      <c r="P39" s="20" t="n">
        <v>0</v>
      </c>
      <c r="Q39" s="18" t="n">
        <v>4.62473124</v>
      </c>
      <c r="R39" s="20" t="n">
        <v>0.98939728</v>
      </c>
    </row>
    <row r="40" spans="1:18">
      <c r="A40" s="15" t="s">
        <v>382</v>
      </c>
      <c r="B40" s="17" t="n">
        <v>7235</v>
      </c>
      <c r="C40" s="18">
        <f>(6358.0/B40*100)</f>
        <v/>
      </c>
      <c r="D40" s="19" t="n">
        <v>877</v>
      </c>
      <c r="E40" s="18" t="n">
        <v>58.49821806</v>
      </c>
      <c r="F40" s="20" t="n">
        <v>3.10739653</v>
      </c>
      <c r="G40" s="18" t="n">
        <v>32.51558759</v>
      </c>
      <c r="H40" s="20" t="n">
        <v>2.78049854</v>
      </c>
      <c r="I40" s="18" t="s">
        <v>349</v>
      </c>
      <c r="J40" s="20" t="s">
        <v>349</v>
      </c>
      <c r="K40" s="18" t="n">
        <v>0</v>
      </c>
      <c r="L40" s="20" t="n">
        <v>0</v>
      </c>
      <c r="M40" s="18" t="n">
        <v>0</v>
      </c>
      <c r="N40" s="20" t="n">
        <v>0</v>
      </c>
      <c r="O40" s="18" t="n">
        <v>0</v>
      </c>
      <c r="P40" s="20" t="n">
        <v>0</v>
      </c>
      <c r="Q40" s="18" t="n">
        <v>8.98619435</v>
      </c>
      <c r="R40" s="20" t="n">
        <v>1.9142393</v>
      </c>
    </row>
    <row r="41" spans="1:18">
      <c r="A41" s="15" t="s">
        <v>383</v>
      </c>
      <c r="B41" s="17" t="n">
        <v>2858</v>
      </c>
      <c r="C41" s="18">
        <f>(2495.0/B41*100)</f>
        <v/>
      </c>
      <c r="D41" s="19" t="n">
        <v>363</v>
      </c>
      <c r="E41" s="18" t="n">
        <v>68.99446448</v>
      </c>
      <c r="F41" s="20" t="n">
        <v>2.53077473</v>
      </c>
      <c r="G41" s="18" t="n">
        <v>28.27991514</v>
      </c>
      <c r="H41" s="20" t="n">
        <v>2.45574964</v>
      </c>
      <c r="I41" s="18" t="s">
        <v>349</v>
      </c>
      <c r="J41" s="20" t="s">
        <v>349</v>
      </c>
      <c r="K41" s="18" t="n">
        <v>0.26370172</v>
      </c>
      <c r="L41" s="20" t="n">
        <v>0.25522059</v>
      </c>
      <c r="M41" s="18" t="n">
        <v>0</v>
      </c>
      <c r="N41" s="20" t="n">
        <v>0</v>
      </c>
      <c r="O41" s="18" t="n">
        <v>0</v>
      </c>
      <c r="P41" s="20" t="n">
        <v>0</v>
      </c>
      <c r="Q41" s="18" t="n">
        <v>2.46191867</v>
      </c>
      <c r="R41" s="20" t="n">
        <v>0.88290691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(9757.0/B46*100)</f>
        <v/>
      </c>
      <c r="D46" s="19" t="n">
        <v>1311</v>
      </c>
      <c r="E46" s="18" t="n">
        <v>79.22544151</v>
      </c>
      <c r="F46" s="20" t="n">
        <v>1.31655422</v>
      </c>
      <c r="G46" s="18" t="n">
        <v>10.71316373</v>
      </c>
      <c r="H46" s="20" t="n">
        <v>1.15296579</v>
      </c>
      <c r="I46" s="18" t="s">
        <v>349</v>
      </c>
      <c r="J46" s="20" t="s">
        <v>349</v>
      </c>
      <c r="K46" s="18" t="n">
        <v>0.43663661</v>
      </c>
      <c r="L46" s="20" t="n">
        <v>0.23572241</v>
      </c>
      <c r="M46" s="18" t="n">
        <v>0</v>
      </c>
      <c r="N46" s="20" t="n">
        <v>0</v>
      </c>
      <c r="O46" s="18" t="n">
        <v>0</v>
      </c>
      <c r="P46" s="20" t="n">
        <v>0</v>
      </c>
      <c r="Q46" s="18" t="n">
        <v>9.62475815</v>
      </c>
      <c r="R46" s="20" t="n">
        <v>1.01243491</v>
      </c>
    </row>
    <row r="47" spans="1:18">
      <c r="A47" s="15" t="s">
        <v>389</v>
      </c>
      <c r="B47" s="17" t="n">
        <v>3105</v>
      </c>
      <c r="C47" s="18">
        <f>(2741.0/B47*100)</f>
        <v/>
      </c>
      <c r="D47" s="19" t="n">
        <v>364</v>
      </c>
      <c r="E47" s="18" t="n">
        <v>67.30516012</v>
      </c>
      <c r="F47" s="20" t="n">
        <v>2.76095713</v>
      </c>
      <c r="G47" s="18" t="n">
        <v>24.28877096</v>
      </c>
      <c r="H47" s="20" t="n">
        <v>2.44384291</v>
      </c>
      <c r="I47" s="18" t="s">
        <v>349</v>
      </c>
      <c r="J47" s="20" t="s">
        <v>349</v>
      </c>
      <c r="K47" s="18" t="n">
        <v>0.25425555</v>
      </c>
      <c r="L47" s="20" t="n">
        <v>0.24491479</v>
      </c>
      <c r="M47" s="18" t="n">
        <v>0</v>
      </c>
      <c r="N47" s="20" t="n">
        <v>0</v>
      </c>
      <c r="O47" s="18" t="n">
        <v>0</v>
      </c>
      <c r="P47" s="20" t="n">
        <v>0</v>
      </c>
      <c r="Q47" s="18" t="n">
        <v>8.151813369999999</v>
      </c>
      <c r="R47" s="20" t="n">
        <v>2.07284162</v>
      </c>
    </row>
    <row r="48" spans="1:18">
      <c r="A48" s="15" t="s">
        <v>390</v>
      </c>
      <c r="B48" s="17" t="n">
        <v>5159</v>
      </c>
      <c r="C48" s="18">
        <f>(4518.0/B48*100)</f>
        <v/>
      </c>
      <c r="D48" s="19" t="n">
        <v>641</v>
      </c>
      <c r="E48" s="18" t="n">
        <v>48.88018792</v>
      </c>
      <c r="F48" s="20" t="n">
        <v>2.76909972</v>
      </c>
      <c r="G48" s="18" t="n">
        <v>49.31122007</v>
      </c>
      <c r="H48" s="20" t="n">
        <v>2.72158756</v>
      </c>
      <c r="I48" s="18" t="s">
        <v>349</v>
      </c>
      <c r="J48" s="20" t="s">
        <v>349</v>
      </c>
      <c r="K48" s="18" t="n">
        <v>0.87880308</v>
      </c>
      <c r="L48" s="20" t="n">
        <v>0.45764995</v>
      </c>
      <c r="M48" s="18" t="n">
        <v>0</v>
      </c>
      <c r="N48" s="20" t="n">
        <v>0</v>
      </c>
      <c r="O48" s="18" t="n">
        <v>0</v>
      </c>
      <c r="P48" s="20" t="n">
        <v>0</v>
      </c>
      <c r="Q48" s="18" t="n">
        <v>0.92978893</v>
      </c>
      <c r="R48" s="20" t="n">
        <v>0.4905838</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(4940.0/B50*100)</f>
        <v/>
      </c>
      <c r="D50" s="19" t="n">
        <v>697</v>
      </c>
      <c r="E50" s="18" t="n">
        <v>84.50145145</v>
      </c>
      <c r="F50" s="20" t="n">
        <v>1.88886973</v>
      </c>
      <c r="G50" s="18" t="n">
        <v>9.48351078</v>
      </c>
      <c r="H50" s="20" t="n">
        <v>1.6083001</v>
      </c>
      <c r="I50" s="18" t="s">
        <v>349</v>
      </c>
      <c r="J50" s="20" t="s">
        <v>349</v>
      </c>
      <c r="K50" s="18" t="n">
        <v>1.03514116</v>
      </c>
      <c r="L50" s="20" t="n">
        <v>0.53512169</v>
      </c>
      <c r="M50" s="18" t="n">
        <v>0</v>
      </c>
      <c r="N50" s="20" t="n">
        <v>0</v>
      </c>
      <c r="O50" s="18" t="n">
        <v>0</v>
      </c>
      <c r="P50" s="20" t="n">
        <v>0</v>
      </c>
      <c r="Q50" s="18" t="n">
        <v>4.97989661</v>
      </c>
      <c r="R50" s="20" t="n">
        <v>1.10312237</v>
      </c>
    </row>
    <row r="51" spans="1:18">
      <c r="A51" s="15" t="s">
        <v>393</v>
      </c>
      <c r="B51" s="17" t="n">
        <v>3372</v>
      </c>
      <c r="C51" s="18">
        <f>(2638.0/B51*100)</f>
        <v/>
      </c>
      <c r="D51" s="19" t="n">
        <v>734</v>
      </c>
      <c r="E51" s="18" t="n">
        <v>85.8322546</v>
      </c>
      <c r="F51" s="20" t="n">
        <v>1.42950325</v>
      </c>
      <c r="G51" s="18" t="n">
        <v>7.79558375</v>
      </c>
      <c r="H51" s="20" t="n">
        <v>0.97832367</v>
      </c>
      <c r="I51" s="18" t="s">
        <v>349</v>
      </c>
      <c r="J51" s="20" t="s">
        <v>349</v>
      </c>
      <c r="K51" s="18" t="n">
        <v>0.27642462</v>
      </c>
      <c r="L51" s="20" t="n">
        <v>0.19884244</v>
      </c>
      <c r="M51" s="18" t="n">
        <v>0</v>
      </c>
      <c r="N51" s="20" t="n">
        <v>0</v>
      </c>
      <c r="O51" s="18" t="n">
        <v>0</v>
      </c>
      <c r="P51" s="20" t="n">
        <v>0</v>
      </c>
      <c r="Q51" s="18" t="n">
        <v>6.09573704</v>
      </c>
      <c r="R51" s="20" t="n">
        <v>0.95220474</v>
      </c>
    </row>
    <row r="52" spans="1:18">
      <c r="A52" s="15" t="s">
        <v>394</v>
      </c>
      <c r="B52" s="17" t="n">
        <v>2796</v>
      </c>
      <c r="C52" s="18">
        <f>(2453.0/B52*100)</f>
        <v/>
      </c>
      <c r="D52" s="19" t="n">
        <v>343</v>
      </c>
      <c r="E52" s="18" t="n">
        <v>60.63882254</v>
      </c>
      <c r="F52" s="20" t="n">
        <v>2.89750399</v>
      </c>
      <c r="G52" s="18" t="n">
        <v>30.20425654</v>
      </c>
      <c r="H52" s="20" t="n">
        <v>2.72755448</v>
      </c>
      <c r="I52" s="18" t="s">
        <v>349</v>
      </c>
      <c r="J52" s="20" t="s">
        <v>349</v>
      </c>
      <c r="K52" s="18" t="n">
        <v>0</v>
      </c>
      <c r="L52" s="20" t="n">
        <v>0</v>
      </c>
      <c r="M52" s="18" t="n">
        <v>0</v>
      </c>
      <c r="N52" s="20" t="n">
        <v>0</v>
      </c>
      <c r="O52" s="18" t="n">
        <v>0</v>
      </c>
      <c r="P52" s="20" t="n">
        <v>0</v>
      </c>
      <c r="Q52" s="18" t="n">
        <v>9.156920919999999</v>
      </c>
      <c r="R52" s="20" t="n">
        <v>1.65416213</v>
      </c>
    </row>
    <row r="53" spans="1:18">
      <c r="A53" s="15" t="s">
        <v>395</v>
      </c>
      <c r="B53" s="17" t="n">
        <v>2811</v>
      </c>
      <c r="C53" s="18">
        <f>(2469.0/B53*100)</f>
        <v/>
      </c>
      <c r="D53" s="19" t="n">
        <v>342</v>
      </c>
      <c r="E53" s="18" t="n">
        <v>71.9038722</v>
      </c>
      <c r="F53" s="20" t="n">
        <v>2.30997023</v>
      </c>
      <c r="G53" s="18" t="n">
        <v>19.95864415</v>
      </c>
      <c r="H53" s="20" t="n">
        <v>2.23881895</v>
      </c>
      <c r="I53" s="18" t="s">
        <v>349</v>
      </c>
      <c r="J53" s="20" t="s">
        <v>349</v>
      </c>
      <c r="K53" s="18" t="n">
        <v>0.6873353800000001</v>
      </c>
      <c r="L53" s="20" t="n">
        <v>0.48502726</v>
      </c>
      <c r="M53" s="18" t="n">
        <v>0</v>
      </c>
      <c r="N53" s="20" t="n">
        <v>0</v>
      </c>
      <c r="O53" s="18" t="n">
        <v>0</v>
      </c>
      <c r="P53" s="20" t="n">
        <v>0</v>
      </c>
      <c r="Q53" s="18" t="n">
        <v>7.45014827</v>
      </c>
      <c r="R53" s="20" t="n">
        <v>1.48046679</v>
      </c>
    </row>
    <row r="54" spans="1:18">
      <c r="A54" s="15" t="s">
        <v>396</v>
      </c>
      <c r="B54" s="17" t="n">
        <v>2266</v>
      </c>
      <c r="C54" s="18">
        <f>(1925.0/B54*100)</f>
        <v/>
      </c>
      <c r="D54" s="19" t="n">
        <v>341</v>
      </c>
      <c r="E54" s="18" t="n">
        <v>83.10717618</v>
      </c>
      <c r="F54" s="20" t="n">
        <v>2.34234818</v>
      </c>
      <c r="G54" s="18" t="n">
        <v>2.05601456</v>
      </c>
      <c r="H54" s="20" t="n">
        <v>0.64330754</v>
      </c>
      <c r="I54" s="18" t="s">
        <v>349</v>
      </c>
      <c r="J54" s="20" t="s">
        <v>349</v>
      </c>
      <c r="K54" s="18" t="n">
        <v>2.89186902</v>
      </c>
      <c r="L54" s="20" t="n">
        <v>1.07114711</v>
      </c>
      <c r="M54" s="18" t="n">
        <v>0</v>
      </c>
      <c r="N54" s="20" t="n">
        <v>0</v>
      </c>
      <c r="O54" s="18" t="n">
        <v>0</v>
      </c>
      <c r="P54" s="20" t="n">
        <v>0</v>
      </c>
      <c r="Q54" s="18" t="n">
        <v>11.94494025</v>
      </c>
      <c r="R54" s="20" t="n">
        <v>1.96323244</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50.7415674</v>
      </c>
      <c r="F56" s="20" t="n">
        <v>2.99145843</v>
      </c>
      <c r="G56" s="18" t="n">
        <v>47.86348902</v>
      </c>
      <c r="H56" s="20" t="n">
        <v>3.03871711</v>
      </c>
      <c r="I56" s="18" t="s">
        <v>349</v>
      </c>
      <c r="J56" s="20" t="s">
        <v>349</v>
      </c>
      <c r="K56" s="18" t="n">
        <v>0</v>
      </c>
      <c r="L56" s="20" t="n">
        <v>0</v>
      </c>
      <c r="M56" s="18" t="n">
        <v>0</v>
      </c>
      <c r="N56" s="20" t="n">
        <v>0</v>
      </c>
      <c r="O56" s="18" t="n">
        <v>0</v>
      </c>
      <c r="P56" s="20" t="n">
        <v>0</v>
      </c>
      <c r="Q56" s="18" t="n">
        <v>1.39494357</v>
      </c>
      <c r="R56" s="20" t="n">
        <v>0.60379505</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(2904.0/B61*100)</f>
        <v/>
      </c>
      <c r="D61" s="19" t="n">
        <v>420</v>
      </c>
      <c r="E61" s="18" t="n">
        <v>69.41594373</v>
      </c>
      <c r="F61" s="20" t="n">
        <v>2.94653762</v>
      </c>
      <c r="G61" s="18" t="n">
        <v>27.54174871</v>
      </c>
      <c r="H61" s="20" t="n">
        <v>2.77482309</v>
      </c>
      <c r="I61" s="18" t="s">
        <v>349</v>
      </c>
      <c r="J61" s="20" t="s">
        <v>349</v>
      </c>
      <c r="K61" s="18" t="n">
        <v>0</v>
      </c>
      <c r="L61" s="20" t="n">
        <v>0</v>
      </c>
      <c r="M61" s="18" t="n">
        <v>0</v>
      </c>
      <c r="N61" s="20" t="n">
        <v>0</v>
      </c>
      <c r="O61" s="18" t="n">
        <v>0</v>
      </c>
      <c r="P61" s="20" t="n">
        <v>0</v>
      </c>
      <c r="Q61" s="18" t="n">
        <v>3.04230755</v>
      </c>
      <c r="R61" s="20" t="n">
        <v>0.9029286</v>
      </c>
    </row>
    <row r="62" spans="1:18">
      <c r="A62" s="15" t="s">
        <v>404</v>
      </c>
      <c r="B62" s="17" t="n">
        <v>2246</v>
      </c>
      <c r="C62" s="18">
        <f>(1946.0/B62*100)</f>
        <v/>
      </c>
      <c r="D62" s="19" t="n">
        <v>300</v>
      </c>
      <c r="E62" s="18" t="n">
        <v>50.93834518</v>
      </c>
      <c r="F62" s="20" t="n">
        <v>3.07698578</v>
      </c>
      <c r="G62" s="18" t="n">
        <v>47.7086917</v>
      </c>
      <c r="H62" s="20" t="n">
        <v>2.95804043</v>
      </c>
      <c r="I62" s="18" t="s">
        <v>349</v>
      </c>
      <c r="J62" s="20" t="s">
        <v>349</v>
      </c>
      <c r="K62" s="18" t="n">
        <v>0</v>
      </c>
      <c r="L62" s="20" t="n">
        <v>0</v>
      </c>
      <c r="M62" s="18" t="n">
        <v>0</v>
      </c>
      <c r="N62" s="20" t="n">
        <v>0</v>
      </c>
      <c r="O62" s="18" t="n">
        <v>0</v>
      </c>
      <c r="P62" s="20" t="n">
        <v>0</v>
      </c>
      <c r="Q62" s="18" t="n">
        <v>1.35296312</v>
      </c>
      <c r="R62" s="20" t="n">
        <v>0.67477491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(2538.0/B66*100)</f>
        <v/>
      </c>
      <c r="D66" s="19" t="n">
        <v>356</v>
      </c>
      <c r="E66" s="18" t="n">
        <v>64.42201753000001</v>
      </c>
      <c r="F66" s="20" t="n">
        <v>2.3920701</v>
      </c>
      <c r="G66" s="18" t="n">
        <v>21.11678537</v>
      </c>
      <c r="H66" s="20" t="n">
        <v>2.12544304</v>
      </c>
      <c r="I66" s="18" t="s">
        <v>349</v>
      </c>
      <c r="J66" s="20" t="s">
        <v>349</v>
      </c>
      <c r="K66" s="18" t="n">
        <v>0.27853408</v>
      </c>
      <c r="L66" s="20" t="n">
        <v>0.27809864</v>
      </c>
      <c r="M66" s="18" t="n">
        <v>0</v>
      </c>
      <c r="N66" s="20" t="n">
        <v>0</v>
      </c>
      <c r="O66" s="18" t="n">
        <v>0</v>
      </c>
      <c r="P66" s="20" t="n">
        <v>0</v>
      </c>
      <c r="Q66" s="18" t="n">
        <v>14.18266302</v>
      </c>
      <c r="R66" s="20" t="n">
        <v>1.59735669</v>
      </c>
    </row>
    <row r="67" spans="1:18">
      <c r="A67" s="15" t="s">
        <v>409</v>
      </c>
      <c r="B67" s="17" t="n">
        <v>3511</v>
      </c>
      <c r="C67" s="18">
        <f>(3097.0/B67*100)</f>
        <v/>
      </c>
      <c r="D67" s="19" t="n">
        <v>414</v>
      </c>
      <c r="E67" s="18" t="n">
        <v>82.94505669</v>
      </c>
      <c r="F67" s="20" t="n">
        <v>2.15600673</v>
      </c>
      <c r="G67" s="18" t="n">
        <v>9.452628000000001</v>
      </c>
      <c r="H67" s="20" t="n">
        <v>1.65220061</v>
      </c>
      <c r="I67" s="18" t="s">
        <v>349</v>
      </c>
      <c r="J67" s="20" t="s">
        <v>349</v>
      </c>
      <c r="K67" s="18" t="n">
        <v>0</v>
      </c>
      <c r="L67" s="20" t="n">
        <v>0</v>
      </c>
      <c r="M67" s="18" t="n">
        <v>0</v>
      </c>
      <c r="N67" s="20" t="n">
        <v>0</v>
      </c>
      <c r="O67" s="18" t="n">
        <v>0</v>
      </c>
      <c r="P67" s="20" t="n">
        <v>0</v>
      </c>
      <c r="Q67" s="18" t="n">
        <v>7.60231531</v>
      </c>
      <c r="R67" s="20" t="n">
        <v>1.45284017</v>
      </c>
    </row>
    <row r="68" spans="1:18">
      <c r="A68" s="15" t="s">
        <v>410</v>
      </c>
      <c r="B68" s="17" t="n">
        <v>6049</v>
      </c>
      <c r="C68" s="18">
        <f>(5047.0/B68*100)</f>
        <v/>
      </c>
      <c r="D68" s="19" t="n">
        <v>1002</v>
      </c>
      <c r="E68" s="18" t="n">
        <v>77.24521335</v>
      </c>
      <c r="F68" s="20" t="n">
        <v>1.41679028</v>
      </c>
      <c r="G68" s="18" t="n">
        <v>13.2179441</v>
      </c>
      <c r="H68" s="20" t="n">
        <v>1.20959909</v>
      </c>
      <c r="I68" s="18" t="s">
        <v>349</v>
      </c>
      <c r="J68" s="20" t="s">
        <v>349</v>
      </c>
      <c r="K68" s="18" t="n">
        <v>1.70079709</v>
      </c>
      <c r="L68" s="20" t="n">
        <v>0.42383503</v>
      </c>
      <c r="M68" s="18" t="n">
        <v>0</v>
      </c>
      <c r="N68" s="20" t="n">
        <v>0</v>
      </c>
      <c r="O68" s="18" t="n">
        <v>0</v>
      </c>
      <c r="P68" s="20" t="n">
        <v>0</v>
      </c>
      <c r="Q68" s="18" t="n">
        <v>7.83604546</v>
      </c>
      <c r="R68" s="20" t="n">
        <v>0.8046042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(2537.0/B70*100)</f>
        <v/>
      </c>
      <c r="D70" s="19" t="n">
        <v>392</v>
      </c>
      <c r="E70" s="18" t="n">
        <v>62.34967592</v>
      </c>
      <c r="F70" s="20" t="n">
        <v>2.92022863</v>
      </c>
      <c r="G70" s="18" t="n">
        <v>33.3493978</v>
      </c>
      <c r="H70" s="20" t="n">
        <v>2.80893543</v>
      </c>
      <c r="I70" s="18" t="s">
        <v>349</v>
      </c>
      <c r="J70" s="20" t="s">
        <v>349</v>
      </c>
      <c r="K70" s="18" t="n">
        <v>0</v>
      </c>
      <c r="L70" s="20" t="n">
        <v>0</v>
      </c>
      <c r="M70" s="18" t="n">
        <v>0</v>
      </c>
      <c r="N70" s="20" t="n">
        <v>0</v>
      </c>
      <c r="O70" s="18" t="n">
        <v>0</v>
      </c>
      <c r="P70" s="20" t="n">
        <v>0</v>
      </c>
      <c r="Q70" s="18" t="n">
        <v>4.30092628</v>
      </c>
      <c r="R70" s="20" t="n">
        <v>0.93110163</v>
      </c>
    </row>
    <row r="71" spans="1:18">
      <c r="A71" s="15" t="s">
        <v>413</v>
      </c>
      <c r="B71" s="17" t="n">
        <v>3142</v>
      </c>
      <c r="C71" s="18">
        <f>(2754.0/B71*100)</f>
        <v/>
      </c>
      <c r="D71" s="19" t="n">
        <v>388</v>
      </c>
      <c r="E71" s="18" t="n">
        <v>48.77873352</v>
      </c>
      <c r="F71" s="20" t="n">
        <v>2.66842211</v>
      </c>
      <c r="G71" s="18" t="n">
        <v>49.07986422</v>
      </c>
      <c r="H71" s="20" t="n">
        <v>2.81437484</v>
      </c>
      <c r="I71" s="18" t="s">
        <v>349</v>
      </c>
      <c r="J71" s="20" t="s">
        <v>349</v>
      </c>
      <c r="K71" s="18" t="n">
        <v>0.15207417</v>
      </c>
      <c r="L71" s="20" t="n">
        <v>0.15462322</v>
      </c>
      <c r="M71" s="18" t="n">
        <v>0</v>
      </c>
      <c r="N71" s="20" t="n">
        <v>0</v>
      </c>
      <c r="O71" s="18" t="n">
        <v>0</v>
      </c>
      <c r="P71" s="20" t="n">
        <v>0</v>
      </c>
      <c r="Q71" s="18" t="n">
        <v>1.9893281</v>
      </c>
      <c r="R71" s="20" t="n">
        <v>0.68358555</v>
      </c>
    </row>
    <row r="72" spans="1:18">
      <c r="A72" s="15" t="s">
        <v>414</v>
      </c>
      <c r="B72" s="17" t="n">
        <v>3889</v>
      </c>
      <c r="C72" s="18">
        <f>(3420.0/B72*100)</f>
        <v/>
      </c>
      <c r="D72" s="19" t="n">
        <v>469</v>
      </c>
      <c r="E72" s="18" t="n">
        <v>48.82761176</v>
      </c>
      <c r="F72" s="20" t="n">
        <v>2.54018675</v>
      </c>
      <c r="G72" s="18" t="n">
        <v>49.50474569</v>
      </c>
      <c r="H72" s="20" t="n">
        <v>2.51547527</v>
      </c>
      <c r="I72" s="18" t="s">
        <v>349</v>
      </c>
      <c r="J72" s="20" t="s">
        <v>349</v>
      </c>
      <c r="K72" s="18" t="n">
        <v>0</v>
      </c>
      <c r="L72" s="20" t="n">
        <v>0</v>
      </c>
      <c r="M72" s="18" t="n">
        <v>0</v>
      </c>
      <c r="N72" s="20" t="n">
        <v>0</v>
      </c>
      <c r="O72" s="18" t="n">
        <v>0</v>
      </c>
      <c r="P72" s="20" t="n">
        <v>0</v>
      </c>
      <c r="Q72" s="18" t="n">
        <v>1.66764255</v>
      </c>
      <c r="R72" s="20" t="n">
        <v>0.6033606</v>
      </c>
    </row>
    <row r="73" spans="1:18">
      <c r="A73" s="15" t="s">
        <v>415</v>
      </c>
      <c r="B73" s="17" t="n">
        <v>3597</v>
      </c>
      <c r="C73" s="18">
        <f>(3166.0/B73*100)</f>
        <v/>
      </c>
      <c r="D73" s="19" t="n">
        <v>431</v>
      </c>
      <c r="E73" s="18" t="n">
        <v>89.59419843000001</v>
      </c>
      <c r="F73" s="20" t="n">
        <v>1.74538535</v>
      </c>
      <c r="G73" s="18" t="n">
        <v>9.41885491</v>
      </c>
      <c r="H73" s="20" t="n">
        <v>1.84183815</v>
      </c>
      <c r="I73" s="18" t="s">
        <v>349</v>
      </c>
      <c r="J73" s="20" t="s">
        <v>349</v>
      </c>
      <c r="K73" s="18" t="n">
        <v>0</v>
      </c>
      <c r="L73" s="20" t="n">
        <v>0</v>
      </c>
      <c r="M73" s="18" t="n">
        <v>0</v>
      </c>
      <c r="N73" s="20" t="n">
        <v>0</v>
      </c>
      <c r="O73" s="18" t="n">
        <v>0</v>
      </c>
      <c r="P73" s="20" t="n">
        <v>0</v>
      </c>
      <c r="Q73" s="18" t="n">
        <v>0.98694666</v>
      </c>
      <c r="R73" s="20" t="n">
        <v>0.5494654</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(2133.0/B75*100)</f>
        <v/>
      </c>
      <c r="D75" s="19" t="n">
        <v>273</v>
      </c>
      <c r="E75" s="18" t="n">
        <v>75.459012</v>
      </c>
      <c r="F75" s="20" t="n">
        <v>3.03948704</v>
      </c>
      <c r="G75" s="18" t="n">
        <v>10.27780519</v>
      </c>
      <c r="H75" s="20" t="n">
        <v>1.98086778</v>
      </c>
      <c r="I75" s="18" t="s">
        <v>349</v>
      </c>
      <c r="J75" s="20" t="s">
        <v>349</v>
      </c>
      <c r="K75" s="18" t="n">
        <v>1.40713897</v>
      </c>
      <c r="L75" s="20" t="n">
        <v>0.65799318</v>
      </c>
      <c r="M75" s="18" t="n">
        <v>0</v>
      </c>
      <c r="N75" s="20" t="n">
        <v>0</v>
      </c>
      <c r="O75" s="18" t="n">
        <v>0</v>
      </c>
      <c r="P75" s="20" t="n">
        <v>0</v>
      </c>
      <c r="Q75" s="18" t="n">
        <v>12.85604385</v>
      </c>
      <c r="R75" s="20" t="n">
        <v>2.20009488</v>
      </c>
    </row>
    <row r="76" spans="1:18">
      <c r="A76" s="15" t="s">
        <v>418</v>
      </c>
      <c r="B76" s="17" t="n">
        <v>7052</v>
      </c>
      <c r="C76" s="18">
        <f>(6183.0/B76*100)</f>
        <v/>
      </c>
      <c r="D76" s="19" t="n">
        <v>869</v>
      </c>
      <c r="E76" s="18" t="n">
        <v>78.21336504999999</v>
      </c>
      <c r="F76" s="20" t="n">
        <v>1.61137683</v>
      </c>
      <c r="G76" s="18" t="n">
        <v>17.68426122</v>
      </c>
      <c r="H76" s="20" t="n">
        <v>1.38141264</v>
      </c>
      <c r="I76" s="18" t="s">
        <v>349</v>
      </c>
      <c r="J76" s="20" t="s">
        <v>349</v>
      </c>
      <c r="K76" s="18" t="n">
        <v>0.29165132</v>
      </c>
      <c r="L76" s="20" t="n">
        <v>0.19421614</v>
      </c>
      <c r="M76" s="18" t="n">
        <v>0</v>
      </c>
      <c r="N76" s="20" t="n">
        <v>0</v>
      </c>
      <c r="O76" s="18" t="n">
        <v>0</v>
      </c>
      <c r="P76" s="20" t="n">
        <v>0</v>
      </c>
      <c r="Q76" s="18" t="n">
        <v>3.81072241</v>
      </c>
      <c r="R76" s="20" t="n">
        <v>0.81421227</v>
      </c>
    </row>
    <row r="77" spans="1:18">
      <c r="A77" s="15" t="s">
        <v>419</v>
      </c>
      <c r="B77" s="17" t="n">
        <v>2908</v>
      </c>
      <c r="C77" s="18">
        <f>(2542.0/B77*100)</f>
        <v/>
      </c>
      <c r="D77" s="19" t="n">
        <v>366</v>
      </c>
      <c r="E77" s="18" t="n">
        <v>68.81761776</v>
      </c>
      <c r="F77" s="20" t="n">
        <v>2.66109331</v>
      </c>
      <c r="G77" s="18" t="n">
        <v>17.12892468</v>
      </c>
      <c r="H77" s="20" t="n">
        <v>2.06190773</v>
      </c>
      <c r="I77" s="18" t="s">
        <v>349</v>
      </c>
      <c r="J77" s="20" t="s">
        <v>349</v>
      </c>
      <c r="K77" s="18" t="n">
        <v>0.99178803</v>
      </c>
      <c r="L77" s="20" t="n">
        <v>0.65005658</v>
      </c>
      <c r="M77" s="18" t="n">
        <v>0</v>
      </c>
      <c r="N77" s="20" t="n">
        <v>0</v>
      </c>
      <c r="O77" s="18" t="n">
        <v>0</v>
      </c>
      <c r="P77" s="20" t="n">
        <v>0</v>
      </c>
      <c r="Q77" s="18" t="n">
        <v>13.06166953</v>
      </c>
      <c r="R77" s="20" t="n">
        <v>1.72043361</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(3655.0/B81*100)</f>
        <v/>
      </c>
      <c r="D81" s="19" t="n">
        <v>508</v>
      </c>
      <c r="E81" s="18" t="n">
        <v>87.50441947</v>
      </c>
      <c r="F81" s="20" t="n">
        <v>1.64596696</v>
      </c>
      <c r="G81" s="18" t="n">
        <v>9.608785279999999</v>
      </c>
      <c r="H81" s="20" t="n">
        <v>1.40868944</v>
      </c>
      <c r="I81" s="18" t="s">
        <v>349</v>
      </c>
      <c r="J81" s="20" t="s">
        <v>349</v>
      </c>
      <c r="K81" s="18" t="n">
        <v>0</v>
      </c>
      <c r="L81" s="20" t="n">
        <v>0</v>
      </c>
      <c r="M81" s="18" t="n">
        <v>0</v>
      </c>
      <c r="N81" s="20" t="n">
        <v>0</v>
      </c>
      <c r="O81" s="18" t="n">
        <v>0</v>
      </c>
      <c r="P81" s="20" t="n">
        <v>0</v>
      </c>
      <c r="Q81" s="18" t="n">
        <v>2.88679524</v>
      </c>
      <c r="R81" s="20" t="n">
        <v>0.92994796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(6423.0/B7*100)</f>
        <v/>
      </c>
      <c r="D7" s="19" t="n">
        <v>944</v>
      </c>
      <c r="E7" s="18" t="n">
        <v>30.11433715</v>
      </c>
      <c r="F7" s="20" t="n">
        <v>2.06786674</v>
      </c>
      <c r="G7" s="18" t="n">
        <v>68.88895576</v>
      </c>
      <c r="H7" s="20" t="n">
        <v>1.98119999</v>
      </c>
      <c r="I7" s="18" t="s">
        <v>349</v>
      </c>
      <c r="J7" s="20" t="s">
        <v>349</v>
      </c>
      <c r="K7" s="18" t="n">
        <v>0.28083729</v>
      </c>
      <c r="L7" s="20" t="n">
        <v>0.19326097</v>
      </c>
      <c r="M7" s="18" t="n">
        <v>0</v>
      </c>
      <c r="N7" s="20" t="n">
        <v>0</v>
      </c>
      <c r="O7" s="18" t="n">
        <v>0</v>
      </c>
      <c r="P7" s="20" t="n">
        <v>0</v>
      </c>
      <c r="Q7" s="18" t="n">
        <v>0.7158698</v>
      </c>
      <c r="R7" s="20" t="n">
        <v>0.34012042</v>
      </c>
    </row>
    <row r="8" spans="1:18">
      <c r="A8" s="15" t="s">
        <v>350</v>
      </c>
      <c r="B8" s="17" t="n">
        <v>3564</v>
      </c>
      <c r="C8" s="18">
        <f>(3116.0/B8*100)</f>
        <v/>
      </c>
      <c r="D8" s="19" t="n">
        <v>448</v>
      </c>
      <c r="E8" s="18" t="n">
        <v>23.05305153</v>
      </c>
      <c r="F8" s="20" t="n">
        <v>2.42143632</v>
      </c>
      <c r="G8" s="18" t="n">
        <v>76.33101773999999</v>
      </c>
      <c r="H8" s="20" t="n">
        <v>2.43188837</v>
      </c>
      <c r="I8" s="18" t="s">
        <v>349</v>
      </c>
      <c r="J8" s="20" t="s">
        <v>349</v>
      </c>
      <c r="K8" s="18" t="n">
        <v>0</v>
      </c>
      <c r="L8" s="20" t="n">
        <v>0</v>
      </c>
      <c r="M8" s="18" t="n">
        <v>0</v>
      </c>
      <c r="N8" s="20" t="n">
        <v>0</v>
      </c>
      <c r="O8" s="18" t="n">
        <v>0</v>
      </c>
      <c r="P8" s="20" t="n">
        <v>0</v>
      </c>
      <c r="Q8" s="18" t="n">
        <v>0.61593073</v>
      </c>
      <c r="R8" s="20" t="n">
        <v>0.41862622</v>
      </c>
    </row>
    <row r="9" spans="1:18">
      <c r="A9" s="15" t="s">
        <v>351</v>
      </c>
      <c r="B9" s="17" t="n">
        <v>4899</v>
      </c>
      <c r="C9" s="18">
        <f>(4166.0/B9*100)</f>
        <v/>
      </c>
      <c r="D9" s="19" t="n">
        <v>733</v>
      </c>
      <c r="E9" s="18" t="n">
        <v>32.59557806</v>
      </c>
      <c r="F9" s="20" t="n">
        <v>1.85231528</v>
      </c>
      <c r="G9" s="18" t="n">
        <v>66.26002205</v>
      </c>
      <c r="H9" s="20" t="n">
        <v>2.03842794</v>
      </c>
      <c r="I9" s="18" t="s">
        <v>349</v>
      </c>
      <c r="J9" s="20" t="s">
        <v>349</v>
      </c>
      <c r="K9" s="18" t="n">
        <v>0.59428137</v>
      </c>
      <c r="L9" s="20" t="n">
        <v>0.26690718</v>
      </c>
      <c r="M9" s="18" t="n">
        <v>0</v>
      </c>
      <c r="N9" s="20" t="n">
        <v>0</v>
      </c>
      <c r="O9" s="18" t="n">
        <v>0</v>
      </c>
      <c r="P9" s="20" t="n">
        <v>0</v>
      </c>
      <c r="Q9" s="18" t="n">
        <v>0.55011853</v>
      </c>
      <c r="R9" s="20" t="n">
        <v>0.25210306</v>
      </c>
    </row>
    <row r="10" spans="1:18">
      <c r="A10" s="15" t="s">
        <v>352</v>
      </c>
      <c r="B10" s="17" t="n">
        <v>10036</v>
      </c>
      <c r="C10" s="18">
        <f>(8805.0/B10*100)</f>
        <v/>
      </c>
      <c r="D10" s="19" t="n">
        <v>1231</v>
      </c>
      <c r="E10" s="18" t="n">
        <v>19.23401976</v>
      </c>
      <c r="F10" s="20" t="n">
        <v>1.33718432</v>
      </c>
      <c r="G10" s="18" t="n">
        <v>80.04639537</v>
      </c>
      <c r="H10" s="20" t="n">
        <v>1.36514932</v>
      </c>
      <c r="I10" s="18" t="s">
        <v>349</v>
      </c>
      <c r="J10" s="20" t="s">
        <v>349</v>
      </c>
      <c r="K10" s="18" t="n">
        <v>0.23350686</v>
      </c>
      <c r="L10" s="20" t="n">
        <v>0.1054257</v>
      </c>
      <c r="M10" s="18" t="n">
        <v>0</v>
      </c>
      <c r="N10" s="20" t="n">
        <v>0</v>
      </c>
      <c r="O10" s="18" t="n">
        <v>0</v>
      </c>
      <c r="P10" s="20" t="n">
        <v>0</v>
      </c>
      <c r="Q10" s="18" t="n">
        <v>0.48607801</v>
      </c>
      <c r="R10" s="20" t="n">
        <v>0.2500981</v>
      </c>
    </row>
    <row r="11" spans="1:18">
      <c r="A11" s="15" t="s">
        <v>353</v>
      </c>
      <c r="B11" s="17" t="n">
        <v>3553</v>
      </c>
      <c r="C11" s="18">
        <f>(3133.0/B11*100)</f>
        <v/>
      </c>
      <c r="D11" s="19" t="n">
        <v>420</v>
      </c>
      <c r="E11" s="18" t="n">
        <v>50.71944306</v>
      </c>
      <c r="F11" s="20" t="n">
        <v>3.12383781</v>
      </c>
      <c r="G11" s="18" t="n">
        <v>47.1758697</v>
      </c>
      <c r="H11" s="20" t="n">
        <v>3.13830152</v>
      </c>
      <c r="I11" s="18" t="s">
        <v>349</v>
      </c>
      <c r="J11" s="20" t="s">
        <v>349</v>
      </c>
      <c r="K11" s="18" t="n">
        <v>0</v>
      </c>
      <c r="L11" s="20" t="n">
        <v>0</v>
      </c>
      <c r="M11" s="18" t="n">
        <v>0</v>
      </c>
      <c r="N11" s="20" t="n">
        <v>0</v>
      </c>
      <c r="O11" s="18" t="n">
        <v>0</v>
      </c>
      <c r="P11" s="20" t="n">
        <v>0</v>
      </c>
      <c r="Q11" s="18" t="n">
        <v>2.10468724</v>
      </c>
      <c r="R11" s="20" t="n">
        <v>0.74777819</v>
      </c>
    </row>
    <row r="12" spans="1:18">
      <c r="A12" s="15" t="s">
        <v>354</v>
      </c>
      <c r="B12" s="17" t="n">
        <v>3472</v>
      </c>
      <c r="C12" s="18">
        <f>(2998.0/B12*100)</f>
        <v/>
      </c>
      <c r="D12" s="19" t="n">
        <v>474</v>
      </c>
      <c r="E12" s="18" t="n">
        <v>37.21647485</v>
      </c>
      <c r="F12" s="20" t="n">
        <v>3.42415561</v>
      </c>
      <c r="G12" s="18" t="n">
        <v>61.61991041</v>
      </c>
      <c r="H12" s="20" t="n">
        <v>3.93036652</v>
      </c>
      <c r="I12" s="18" t="s">
        <v>349</v>
      </c>
      <c r="J12" s="20" t="s">
        <v>349</v>
      </c>
      <c r="K12" s="18" t="n">
        <v>0</v>
      </c>
      <c r="L12" s="20" t="n">
        <v>0</v>
      </c>
      <c r="M12" s="18" t="n">
        <v>0</v>
      </c>
      <c r="N12" s="20" t="n">
        <v>0</v>
      </c>
      <c r="O12" s="18" t="n">
        <v>0</v>
      </c>
      <c r="P12" s="20" t="n">
        <v>0</v>
      </c>
      <c r="Q12" s="18" t="n">
        <v>1.16361473</v>
      </c>
      <c r="R12" s="20" t="n">
        <v>0.78132707</v>
      </c>
    </row>
    <row r="13" spans="1:18">
      <c r="A13" s="15" t="s">
        <v>355</v>
      </c>
      <c r="B13" s="17" t="n">
        <v>3559</v>
      </c>
      <c r="C13" s="18">
        <f>(2964.0/B13*100)</f>
        <v/>
      </c>
      <c r="D13" s="19" t="n">
        <v>595</v>
      </c>
      <c r="E13" s="18" t="n">
        <v>27.25482579</v>
      </c>
      <c r="F13" s="20" t="n">
        <v>2.33173741</v>
      </c>
      <c r="G13" s="18" t="n">
        <v>71.58142706</v>
      </c>
      <c r="H13" s="20" t="n">
        <v>2.46556393</v>
      </c>
      <c r="I13" s="18" t="s">
        <v>349</v>
      </c>
      <c r="J13" s="20" t="s">
        <v>349</v>
      </c>
      <c r="K13" s="18" t="n">
        <v>0.5584</v>
      </c>
      <c r="L13" s="20" t="n">
        <v>0.31118318</v>
      </c>
      <c r="M13" s="18" t="n">
        <v>0</v>
      </c>
      <c r="N13" s="20" t="n">
        <v>0</v>
      </c>
      <c r="O13" s="18" t="n">
        <v>0</v>
      </c>
      <c r="P13" s="20" t="n">
        <v>0</v>
      </c>
      <c r="Q13" s="18" t="n">
        <v>0.6053471499999999</v>
      </c>
      <c r="R13" s="20" t="n">
        <v>0.33246148</v>
      </c>
    </row>
    <row r="14" spans="1:18">
      <c r="A14" s="15" t="s">
        <v>356</v>
      </c>
      <c r="B14" s="17" t="n">
        <v>2799</v>
      </c>
      <c r="C14" s="18">
        <f>(2450.0/B14*100)</f>
        <v/>
      </c>
      <c r="D14" s="19" t="n">
        <v>349</v>
      </c>
      <c r="E14" s="18" t="n">
        <v>18.02222319</v>
      </c>
      <c r="F14" s="20" t="n">
        <v>2.39693229</v>
      </c>
      <c r="G14" s="18" t="n">
        <v>81.28634846</v>
      </c>
      <c r="H14" s="20" t="n">
        <v>2.44082148</v>
      </c>
      <c r="I14" s="18" t="s">
        <v>349</v>
      </c>
      <c r="J14" s="20" t="s">
        <v>349</v>
      </c>
      <c r="K14" s="18" t="n">
        <v>0</v>
      </c>
      <c r="L14" s="20" t="n">
        <v>0</v>
      </c>
      <c r="M14" s="18" t="n">
        <v>0</v>
      </c>
      <c r="N14" s="20" t="n">
        <v>0</v>
      </c>
      <c r="O14" s="18" t="n">
        <v>0</v>
      </c>
      <c r="P14" s="20" t="n">
        <v>0</v>
      </c>
      <c r="Q14" s="18" t="n">
        <v>0.69142835</v>
      </c>
      <c r="R14" s="20" t="n">
        <v>0.67337544</v>
      </c>
    </row>
    <row r="15" spans="1:18">
      <c r="A15" s="15" t="s">
        <v>357</v>
      </c>
      <c r="B15" s="17" t="n">
        <v>3019</v>
      </c>
      <c r="C15" s="18">
        <f>(2628.0/B15*100)</f>
        <v/>
      </c>
      <c r="D15" s="19" t="n">
        <v>391</v>
      </c>
      <c r="E15" s="18" t="n">
        <v>25.44518798</v>
      </c>
      <c r="F15" s="20" t="n">
        <v>2.3376082</v>
      </c>
      <c r="G15" s="18" t="n">
        <v>73.07715888</v>
      </c>
      <c r="H15" s="20" t="n">
        <v>2.50669513</v>
      </c>
      <c r="I15" s="18" t="s">
        <v>349</v>
      </c>
      <c r="J15" s="20" t="s">
        <v>349</v>
      </c>
      <c r="K15" s="18" t="n">
        <v>0.94484011</v>
      </c>
      <c r="L15" s="20" t="n">
        <v>0.53901492</v>
      </c>
      <c r="M15" s="18" t="n">
        <v>0</v>
      </c>
      <c r="N15" s="20" t="n">
        <v>0</v>
      </c>
      <c r="O15" s="18" t="n">
        <v>0</v>
      </c>
      <c r="P15" s="20" t="n">
        <v>0</v>
      </c>
      <c r="Q15" s="18" t="n">
        <v>0.53281302</v>
      </c>
      <c r="R15" s="20" t="n">
        <v>0.3487477</v>
      </c>
    </row>
    <row r="16" spans="1:18">
      <c r="A16" s="15" t="s">
        <v>358</v>
      </c>
      <c r="B16" s="17" t="n">
        <v>2997</v>
      </c>
      <c r="C16" s="18">
        <f>(2643.0/B16*100)</f>
        <v/>
      </c>
      <c r="D16" s="19" t="n">
        <v>354</v>
      </c>
      <c r="E16" s="18" t="n">
        <v>22.66148636</v>
      </c>
      <c r="F16" s="20" t="n">
        <v>2.0221466</v>
      </c>
      <c r="G16" s="18" t="n">
        <v>74.75774637000001</v>
      </c>
      <c r="H16" s="20" t="n">
        <v>2.15637961</v>
      </c>
      <c r="I16" s="18" t="s">
        <v>349</v>
      </c>
      <c r="J16" s="20" t="s">
        <v>349</v>
      </c>
      <c r="K16" s="18" t="n">
        <v>1.38656966</v>
      </c>
      <c r="L16" s="20" t="n">
        <v>0.58436717</v>
      </c>
      <c r="M16" s="18" t="n">
        <v>0</v>
      </c>
      <c r="N16" s="20" t="n">
        <v>0</v>
      </c>
      <c r="O16" s="18" t="n">
        <v>0</v>
      </c>
      <c r="P16" s="20" t="n">
        <v>0</v>
      </c>
      <c r="Q16" s="18" t="n">
        <v>1.19419761</v>
      </c>
      <c r="R16" s="20" t="n">
        <v>0.61562815</v>
      </c>
    </row>
    <row r="17" spans="1:18">
      <c r="A17" s="15" t="s">
        <v>359</v>
      </c>
      <c r="B17" s="17" t="n">
        <v>3307</v>
      </c>
      <c r="C17" s="18">
        <f>(2841.0/B17*100)</f>
        <v/>
      </c>
      <c r="D17" s="19" t="n">
        <v>466</v>
      </c>
      <c r="E17" s="18" t="n">
        <v>29.7441902</v>
      </c>
      <c r="F17" s="20" t="n">
        <v>2.60758003</v>
      </c>
      <c r="G17" s="18" t="n">
        <v>64.57962859</v>
      </c>
      <c r="H17" s="20" t="n">
        <v>2.83239019</v>
      </c>
      <c r="I17" s="18" t="s">
        <v>349</v>
      </c>
      <c r="J17" s="20" t="s">
        <v>349</v>
      </c>
      <c r="K17" s="18" t="n">
        <v>2.59605374</v>
      </c>
      <c r="L17" s="20" t="n">
        <v>0.94791297</v>
      </c>
      <c r="M17" s="18" t="n">
        <v>0</v>
      </c>
      <c r="N17" s="20" t="n">
        <v>0</v>
      </c>
      <c r="O17" s="18" t="n">
        <v>0</v>
      </c>
      <c r="P17" s="20" t="n">
        <v>0</v>
      </c>
      <c r="Q17" s="18" t="n">
        <v>3.08012747</v>
      </c>
      <c r="R17" s="20" t="n">
        <v>0.89629087</v>
      </c>
    </row>
    <row r="18" spans="1:18">
      <c r="A18" s="15" t="s">
        <v>360</v>
      </c>
      <c r="B18" s="17" t="n">
        <v>2826</v>
      </c>
      <c r="C18" s="18">
        <f>(2478.0/B18*100)</f>
        <v/>
      </c>
      <c r="D18" s="19" t="n">
        <v>348</v>
      </c>
      <c r="E18" s="18" t="n">
        <v>39.39408266</v>
      </c>
      <c r="F18" s="20" t="n">
        <v>2.83133178</v>
      </c>
      <c r="G18" s="18" t="n">
        <v>59.33508992</v>
      </c>
      <c r="H18" s="20" t="n">
        <v>2.68767255</v>
      </c>
      <c r="I18" s="18" t="s">
        <v>349</v>
      </c>
      <c r="J18" s="20" t="s">
        <v>349</v>
      </c>
      <c r="K18" s="18" t="n">
        <v>1.27082743</v>
      </c>
      <c r="L18" s="20" t="n">
        <v>0.74913498</v>
      </c>
      <c r="M18" s="18" t="n">
        <v>0</v>
      </c>
      <c r="N18" s="20" t="n">
        <v>0</v>
      </c>
      <c r="O18" s="18" t="n">
        <v>0</v>
      </c>
      <c r="P18" s="20" t="n">
        <v>0</v>
      </c>
      <c r="Q18" s="18" t="n">
        <v>0</v>
      </c>
      <c r="R18" s="20" t="n">
        <v>0</v>
      </c>
    </row>
    <row r="19" spans="1:18">
      <c r="A19" s="15" t="s">
        <v>361</v>
      </c>
      <c r="B19" s="17" t="n">
        <v>2808</v>
      </c>
      <c r="C19" s="18">
        <f>(2454.0/B19*100)</f>
        <v/>
      </c>
      <c r="D19" s="19" t="n">
        <v>354</v>
      </c>
      <c r="E19" s="18" t="n">
        <v>36.48904582</v>
      </c>
      <c r="F19" s="20" t="n">
        <v>2.97443698</v>
      </c>
      <c r="G19" s="18" t="n">
        <v>63.2896904</v>
      </c>
      <c r="H19" s="20" t="n">
        <v>2.9496163</v>
      </c>
      <c r="I19" s="18" t="s">
        <v>349</v>
      </c>
      <c r="J19" s="20" t="s">
        <v>349</v>
      </c>
      <c r="K19" s="18" t="n">
        <v>0</v>
      </c>
      <c r="L19" s="20" t="n">
        <v>0</v>
      </c>
      <c r="M19" s="18" t="n">
        <v>0</v>
      </c>
      <c r="N19" s="20" t="n">
        <v>0</v>
      </c>
      <c r="O19" s="18" t="n">
        <v>0</v>
      </c>
      <c r="P19" s="20" t="n">
        <v>0</v>
      </c>
      <c r="Q19" s="18" t="n">
        <v>0.22126378</v>
      </c>
      <c r="R19" s="20" t="n">
        <v>0.22301494</v>
      </c>
    </row>
    <row r="20" spans="1:18">
      <c r="A20" s="15" t="s">
        <v>362</v>
      </c>
      <c r="B20" s="17" t="n">
        <v>1630</v>
      </c>
      <c r="C20" s="18">
        <f>(1432.0/B20*100)</f>
        <v/>
      </c>
      <c r="D20" s="19" t="n">
        <v>198</v>
      </c>
      <c r="E20" s="18" t="n">
        <v>31.15684768</v>
      </c>
      <c r="F20" s="20" t="n">
        <v>3.53631394</v>
      </c>
      <c r="G20" s="18" t="n">
        <v>67.43722047</v>
      </c>
      <c r="H20" s="20" t="n">
        <v>3.4827789</v>
      </c>
      <c r="I20" s="18" t="s">
        <v>349</v>
      </c>
      <c r="J20" s="20" t="s">
        <v>349</v>
      </c>
      <c r="K20" s="18" t="n">
        <v>0.48050787</v>
      </c>
      <c r="L20" s="20" t="n">
        <v>0.4356691</v>
      </c>
      <c r="M20" s="18" t="n">
        <v>0</v>
      </c>
      <c r="N20" s="20" t="n">
        <v>0</v>
      </c>
      <c r="O20" s="18" t="n">
        <v>0</v>
      </c>
      <c r="P20" s="20" t="n">
        <v>0</v>
      </c>
      <c r="Q20" s="18" t="n">
        <v>0.92542398</v>
      </c>
      <c r="R20" s="20" t="n">
        <v>0.63583204</v>
      </c>
    </row>
    <row r="21" spans="1:18">
      <c r="A21" s="15" t="s">
        <v>363</v>
      </c>
      <c r="B21" s="17" t="n">
        <v>2908</v>
      </c>
      <c r="C21" s="18">
        <f>(2400.0/B21*100)</f>
        <v/>
      </c>
      <c r="D21" s="19" t="n">
        <v>508</v>
      </c>
      <c r="E21" s="18" t="n">
        <v>22.9998164</v>
      </c>
      <c r="F21" s="20" t="n">
        <v>1.88190028</v>
      </c>
      <c r="G21" s="18" t="n">
        <v>76.69696337000001</v>
      </c>
      <c r="H21" s="20" t="n">
        <v>1.84268118</v>
      </c>
      <c r="I21" s="18" t="s">
        <v>349</v>
      </c>
      <c r="J21" s="20" t="s">
        <v>349</v>
      </c>
      <c r="K21" s="18" t="n">
        <v>0.30322023</v>
      </c>
      <c r="L21" s="20" t="n">
        <v>0.21454015</v>
      </c>
      <c r="M21" s="18" t="n">
        <v>0</v>
      </c>
      <c r="N21" s="20" t="n">
        <v>0</v>
      </c>
      <c r="O21" s="18" t="n">
        <v>0</v>
      </c>
      <c r="P21" s="20" t="n">
        <v>0</v>
      </c>
      <c r="Q21" s="18" t="n">
        <v>0</v>
      </c>
      <c r="R21" s="20" t="n">
        <v>0</v>
      </c>
    </row>
    <row r="22" spans="1:18">
      <c r="A22" s="15" t="s">
        <v>364</v>
      </c>
      <c r="B22" s="17" t="n">
        <v>2931</v>
      </c>
      <c r="C22" s="18">
        <f>(2562.0/B22*100)</f>
        <v/>
      </c>
      <c r="D22" s="19" t="n">
        <v>369</v>
      </c>
      <c r="E22" s="18" t="n">
        <v>35.3932906</v>
      </c>
      <c r="F22" s="20" t="n">
        <v>2.47755453</v>
      </c>
      <c r="G22" s="18" t="n">
        <v>61.68674627</v>
      </c>
      <c r="H22" s="20" t="n">
        <v>2.98709192</v>
      </c>
      <c r="I22" s="18" t="s">
        <v>349</v>
      </c>
      <c r="J22" s="20" t="s">
        <v>349</v>
      </c>
      <c r="K22" s="18" t="n">
        <v>0.73301008</v>
      </c>
      <c r="L22" s="20" t="n">
        <v>0.50829486</v>
      </c>
      <c r="M22" s="18" t="n">
        <v>0</v>
      </c>
      <c r="N22" s="20" t="n">
        <v>0</v>
      </c>
      <c r="O22" s="18" t="n">
        <v>0</v>
      </c>
      <c r="P22" s="20" t="n">
        <v>0</v>
      </c>
      <c r="Q22" s="18" t="n">
        <v>2.18695304</v>
      </c>
      <c r="R22" s="20" t="n">
        <v>1.21295939</v>
      </c>
    </row>
    <row r="23" spans="1:18">
      <c r="A23" s="15" t="s">
        <v>365</v>
      </c>
      <c r="B23" s="17" t="n">
        <v>5791</v>
      </c>
      <c r="C23" s="18">
        <f>(5090.0/B23*100)</f>
        <v/>
      </c>
      <c r="D23" s="19" t="n">
        <v>701</v>
      </c>
      <c r="E23" s="18" t="n">
        <v>25.28924639</v>
      </c>
      <c r="F23" s="20" t="n">
        <v>1.91982421</v>
      </c>
      <c r="G23" s="18" t="n">
        <v>73.57755193</v>
      </c>
      <c r="H23" s="20" t="n">
        <v>2.04967952</v>
      </c>
      <c r="I23" s="18" t="s">
        <v>349</v>
      </c>
      <c r="J23" s="20" t="s">
        <v>349</v>
      </c>
      <c r="K23" s="18" t="n">
        <v>0.22931106</v>
      </c>
      <c r="L23" s="20" t="n">
        <v>0.22872687</v>
      </c>
      <c r="M23" s="18" t="n">
        <v>0</v>
      </c>
      <c r="N23" s="20" t="n">
        <v>0</v>
      </c>
      <c r="O23" s="18" t="n">
        <v>0</v>
      </c>
      <c r="P23" s="20" t="n">
        <v>0</v>
      </c>
      <c r="Q23" s="18" t="n">
        <v>0.90389063</v>
      </c>
      <c r="R23" s="20" t="n">
        <v>0.6624345</v>
      </c>
    </row>
    <row r="24" spans="1:18">
      <c r="A24" s="15" t="s">
        <v>366</v>
      </c>
      <c r="B24" s="17" t="n">
        <v>3338</v>
      </c>
      <c r="C24" s="18">
        <f>(2938.0/B24*100)</f>
        <v/>
      </c>
      <c r="D24" s="19" t="n">
        <v>400</v>
      </c>
      <c r="E24" s="18" t="n">
        <v>13.46785222</v>
      </c>
      <c r="F24" s="20" t="n">
        <v>2.02411133</v>
      </c>
      <c r="G24" s="18" t="n">
        <v>86.11202204999999</v>
      </c>
      <c r="H24" s="20" t="n">
        <v>2.07206532</v>
      </c>
      <c r="I24" s="18" t="s">
        <v>349</v>
      </c>
      <c r="J24" s="20" t="s">
        <v>349</v>
      </c>
      <c r="K24" s="18" t="n">
        <v>0.17720359</v>
      </c>
      <c r="L24" s="20" t="n">
        <v>0.17756785</v>
      </c>
      <c r="M24" s="18" t="n">
        <v>0</v>
      </c>
      <c r="N24" s="20" t="n">
        <v>0</v>
      </c>
      <c r="O24" s="18" t="n">
        <v>0</v>
      </c>
      <c r="P24" s="20" t="n">
        <v>0</v>
      </c>
      <c r="Q24" s="18" t="n">
        <v>0.24292214</v>
      </c>
      <c r="R24" s="20" t="n">
        <v>0.24605914</v>
      </c>
    </row>
    <row r="25" spans="1:18">
      <c r="A25" s="15" t="s">
        <v>367</v>
      </c>
      <c r="B25" s="17" t="n">
        <v>2912</v>
      </c>
      <c r="C25" s="18">
        <f>(2539.0/B25*100)</f>
        <v/>
      </c>
      <c r="D25" s="19" t="n">
        <v>373</v>
      </c>
      <c r="E25" s="18" t="n">
        <v>18.5110063</v>
      </c>
      <c r="F25" s="20" t="n">
        <v>1.98883856</v>
      </c>
      <c r="G25" s="18" t="n">
        <v>80.0687463</v>
      </c>
      <c r="H25" s="20" t="n">
        <v>1.98645906</v>
      </c>
      <c r="I25" s="18" t="s">
        <v>349</v>
      </c>
      <c r="J25" s="20" t="s">
        <v>349</v>
      </c>
      <c r="K25" s="18" t="n">
        <v>1.38420622</v>
      </c>
      <c r="L25" s="20" t="n">
        <v>0.62552061</v>
      </c>
      <c r="M25" s="18" t="n">
        <v>0</v>
      </c>
      <c r="N25" s="20" t="n">
        <v>0</v>
      </c>
      <c r="O25" s="18" t="n">
        <v>0</v>
      </c>
      <c r="P25" s="20" t="n">
        <v>0</v>
      </c>
      <c r="Q25" s="18" t="n">
        <v>0.03604117</v>
      </c>
      <c r="R25" s="20" t="n">
        <v>0.03613585</v>
      </c>
    </row>
    <row r="26" spans="1:18">
      <c r="A26" s="15" t="s">
        <v>368</v>
      </c>
      <c r="B26" s="17" t="n">
        <v>2450</v>
      </c>
      <c r="C26" s="18">
        <f>(2134.0/B26*100)</f>
        <v/>
      </c>
      <c r="D26" s="19" t="n">
        <v>316</v>
      </c>
      <c r="E26" s="18" t="n">
        <v>25.75680039</v>
      </c>
      <c r="F26" s="20" t="n">
        <v>2.63017677</v>
      </c>
      <c r="G26" s="18" t="n">
        <v>74.24319961</v>
      </c>
      <c r="H26" s="20" t="n">
        <v>2.63017677</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(2306.0/B27*100)</f>
        <v/>
      </c>
      <c r="D27" s="19" t="n">
        <v>310</v>
      </c>
      <c r="E27" s="18" t="n">
        <v>27.75292276</v>
      </c>
      <c r="F27" s="20" t="n">
        <v>2.80104832</v>
      </c>
      <c r="G27" s="18" t="n">
        <v>71.27754097</v>
      </c>
      <c r="H27" s="20" t="n">
        <v>2.83368424</v>
      </c>
      <c r="I27" s="18" t="s">
        <v>349</v>
      </c>
      <c r="J27" s="20" t="s">
        <v>349</v>
      </c>
      <c r="K27" s="18" t="n">
        <v>0.64474451</v>
      </c>
      <c r="L27" s="20" t="n">
        <v>0.45310908</v>
      </c>
      <c r="M27" s="18" t="n">
        <v>0</v>
      </c>
      <c r="N27" s="20" t="n">
        <v>0</v>
      </c>
      <c r="O27" s="18" t="n">
        <v>0</v>
      </c>
      <c r="P27" s="20" t="n">
        <v>0</v>
      </c>
      <c r="Q27" s="18" t="n">
        <v>0.32479176</v>
      </c>
      <c r="R27" s="20" t="n">
        <v>0.32276886</v>
      </c>
    </row>
    <row r="28" spans="1:18">
      <c r="A28" s="15" t="s">
        <v>370</v>
      </c>
      <c r="B28" s="17" t="n">
        <v>3765</v>
      </c>
      <c r="C28" s="18">
        <f>(3282.0/B28*100)</f>
        <v/>
      </c>
      <c r="D28" s="19" t="n">
        <v>483</v>
      </c>
      <c r="E28" s="18" t="n">
        <v>51.99388201</v>
      </c>
      <c r="F28" s="20" t="n">
        <v>2.48516769</v>
      </c>
      <c r="G28" s="18" t="n">
        <v>47.58938972</v>
      </c>
      <c r="H28" s="20" t="n">
        <v>2.45675934</v>
      </c>
      <c r="I28" s="18" t="s">
        <v>349</v>
      </c>
      <c r="J28" s="20" t="s">
        <v>349</v>
      </c>
      <c r="K28" s="18" t="n">
        <v>0.41672827</v>
      </c>
      <c r="L28" s="20" t="n">
        <v>0.40219636</v>
      </c>
      <c r="M28" s="18" t="n">
        <v>0</v>
      </c>
      <c r="N28" s="20" t="n">
        <v>0</v>
      </c>
      <c r="O28" s="18" t="n">
        <v>0</v>
      </c>
      <c r="P28" s="20" t="n">
        <v>0</v>
      </c>
      <c r="Q28" s="18" t="n">
        <v>0</v>
      </c>
      <c r="R28" s="20" t="n">
        <v>0</v>
      </c>
    </row>
    <row r="29" spans="1:18">
      <c r="A29" s="15" t="s">
        <v>371</v>
      </c>
      <c r="B29" s="17" t="n">
        <v>2685</v>
      </c>
      <c r="C29" s="18">
        <f>(2279.0/B29*100)</f>
        <v/>
      </c>
      <c r="D29" s="19" t="n">
        <v>406</v>
      </c>
      <c r="E29" s="18" t="n">
        <v>29.44111382</v>
      </c>
      <c r="F29" s="20" t="n">
        <v>2.3520154</v>
      </c>
      <c r="G29" s="18" t="n">
        <v>68.58457107</v>
      </c>
      <c r="H29" s="20" t="n">
        <v>3.18458237</v>
      </c>
      <c r="I29" s="18" t="s">
        <v>349</v>
      </c>
      <c r="J29" s="20" t="s">
        <v>349</v>
      </c>
      <c r="K29" s="18" t="n">
        <v>1.28500477</v>
      </c>
      <c r="L29" s="20" t="n">
        <v>0.85335805</v>
      </c>
      <c r="M29" s="18" t="n">
        <v>0</v>
      </c>
      <c r="N29" s="20" t="n">
        <v>0</v>
      </c>
      <c r="O29" s="18" t="n">
        <v>0</v>
      </c>
      <c r="P29" s="20" t="n">
        <v>0</v>
      </c>
      <c r="Q29" s="18" t="n">
        <v>0.68931034</v>
      </c>
      <c r="R29" s="20" t="n">
        <v>0.54115499</v>
      </c>
    </row>
    <row r="30" spans="1:18">
      <c r="A30" s="15" t="s">
        <v>372</v>
      </c>
      <c r="B30" s="17" t="n">
        <v>2263</v>
      </c>
      <c r="C30" s="18">
        <f>(2002.0/B30*100)</f>
        <v/>
      </c>
      <c r="D30" s="19" t="n">
        <v>261</v>
      </c>
      <c r="E30" s="18" t="n">
        <v>26.3630158</v>
      </c>
      <c r="F30" s="20" t="n">
        <v>3.35203961</v>
      </c>
      <c r="G30" s="18" t="n">
        <v>73.00535499999999</v>
      </c>
      <c r="H30" s="20" t="n">
        <v>3.41783432</v>
      </c>
      <c r="I30" s="18" t="s">
        <v>349</v>
      </c>
      <c r="J30" s="20" t="s">
        <v>349</v>
      </c>
      <c r="K30" s="18" t="n">
        <v>0</v>
      </c>
      <c r="L30" s="20" t="n">
        <v>0</v>
      </c>
      <c r="M30" s="18" t="n">
        <v>0</v>
      </c>
      <c r="N30" s="20" t="n">
        <v>0</v>
      </c>
      <c r="O30" s="18" t="n">
        <v>0</v>
      </c>
      <c r="P30" s="20" t="n">
        <v>0</v>
      </c>
      <c r="Q30" s="18" t="n">
        <v>0.6316292</v>
      </c>
      <c r="R30" s="20" t="n">
        <v>0.45412471</v>
      </c>
    </row>
    <row r="31" spans="1:18">
      <c r="A31" s="15" t="s">
        <v>373</v>
      </c>
      <c r="B31" s="17" t="n">
        <v>2750</v>
      </c>
      <c r="C31" s="18">
        <f>(2422.0/B31*100)</f>
        <v/>
      </c>
      <c r="D31" s="19" t="n">
        <v>328</v>
      </c>
      <c r="E31" s="18" t="n">
        <v>25.64831925</v>
      </c>
      <c r="F31" s="20" t="n">
        <v>2.67619362</v>
      </c>
      <c r="G31" s="18" t="n">
        <v>72.83988399</v>
      </c>
      <c r="H31" s="20" t="n">
        <v>2.65162201</v>
      </c>
      <c r="I31" s="18" t="s">
        <v>349</v>
      </c>
      <c r="J31" s="20" t="s">
        <v>349</v>
      </c>
      <c r="K31" s="18" t="n">
        <v>0.29905077</v>
      </c>
      <c r="L31" s="20" t="n">
        <v>0.32282394</v>
      </c>
      <c r="M31" s="18" t="n">
        <v>0</v>
      </c>
      <c r="N31" s="20" t="n">
        <v>0</v>
      </c>
      <c r="O31" s="18" t="n">
        <v>0</v>
      </c>
      <c r="P31" s="20" t="n">
        <v>0</v>
      </c>
      <c r="Q31" s="18" t="n">
        <v>1.21274599</v>
      </c>
      <c r="R31" s="20" t="n">
        <v>0.61807586</v>
      </c>
    </row>
    <row r="32" spans="1:18">
      <c r="A32" s="15" t="s">
        <v>374</v>
      </c>
      <c r="B32" s="17" t="n">
        <v>2269</v>
      </c>
      <c r="C32" s="18">
        <f>(1890.0/B32*100)</f>
        <v/>
      </c>
      <c r="D32" s="19" t="n">
        <v>379</v>
      </c>
      <c r="E32" s="18" t="n">
        <v>22.96011503</v>
      </c>
      <c r="F32" s="20" t="n">
        <v>1.92104365</v>
      </c>
      <c r="G32" s="18" t="n">
        <v>77.03988497</v>
      </c>
      <c r="H32" s="20" t="n">
        <v>1.92104365</v>
      </c>
      <c r="I32" s="18" t="s">
        <v>349</v>
      </c>
      <c r="J32" s="20" t="s">
        <v>349</v>
      </c>
      <c r="K32" s="18" t="n">
        <v>0</v>
      </c>
      <c r="L32" s="20" t="n">
        <v>0</v>
      </c>
      <c r="M32" s="18" t="n">
        <v>0</v>
      </c>
      <c r="N32" s="20" t="n">
        <v>0</v>
      </c>
      <c r="O32" s="18" t="n">
        <v>0</v>
      </c>
      <c r="P32" s="20" t="n">
        <v>0</v>
      </c>
      <c r="Q32" s="18" t="n">
        <v>0</v>
      </c>
      <c r="R32" s="20" t="n">
        <v>0</v>
      </c>
    </row>
    <row r="33" spans="1:18">
      <c r="A33" s="15" t="s">
        <v>375</v>
      </c>
      <c r="B33" s="17" t="n">
        <v>3674</v>
      </c>
      <c r="C33" s="18">
        <f>(3220.0/B33*100)</f>
        <v/>
      </c>
      <c r="D33" s="19" t="n">
        <v>454</v>
      </c>
      <c r="E33" s="18" t="n">
        <v>26.86610168</v>
      </c>
      <c r="F33" s="20" t="n">
        <v>2.12944196</v>
      </c>
      <c r="G33" s="18" t="n">
        <v>72.72774321999999</v>
      </c>
      <c r="H33" s="20" t="n">
        <v>2.1963868</v>
      </c>
      <c r="I33" s="18" t="s">
        <v>349</v>
      </c>
      <c r="J33" s="20" t="s">
        <v>349</v>
      </c>
      <c r="K33" s="18" t="n">
        <v>0.31856843</v>
      </c>
      <c r="L33" s="20" t="n">
        <v>0.27891535</v>
      </c>
      <c r="M33" s="18" t="n">
        <v>0</v>
      </c>
      <c r="N33" s="20" t="n">
        <v>0</v>
      </c>
      <c r="O33" s="18" t="n">
        <v>0</v>
      </c>
      <c r="P33" s="20" t="n">
        <v>0</v>
      </c>
      <c r="Q33" s="18" t="n">
        <v>0.08758667000000001</v>
      </c>
      <c r="R33" s="20" t="n">
        <v>0.06559087</v>
      </c>
    </row>
    <row r="34" spans="1:18">
      <c r="A34" s="15" t="s">
        <v>376</v>
      </c>
      <c r="B34" s="17" t="n">
        <v>3315</v>
      </c>
      <c r="C34" s="18">
        <f>(2859.0/B34*100)</f>
        <v/>
      </c>
      <c r="D34" s="19" t="n">
        <v>456</v>
      </c>
      <c r="E34" s="18" t="n">
        <v>46.17786375</v>
      </c>
      <c r="F34" s="20" t="n">
        <v>3.03068814</v>
      </c>
      <c r="G34" s="18" t="n">
        <v>52.58630627</v>
      </c>
      <c r="H34" s="20" t="n">
        <v>3.27193456</v>
      </c>
      <c r="I34" s="18" t="s">
        <v>349</v>
      </c>
      <c r="J34" s="20" t="s">
        <v>349</v>
      </c>
      <c r="K34" s="18" t="n">
        <v>0</v>
      </c>
      <c r="L34" s="20" t="n">
        <v>0</v>
      </c>
      <c r="M34" s="18" t="n">
        <v>0</v>
      </c>
      <c r="N34" s="20" t="n">
        <v>0</v>
      </c>
      <c r="O34" s="18" t="n">
        <v>0</v>
      </c>
      <c r="P34" s="20" t="n">
        <v>0</v>
      </c>
      <c r="Q34" s="18" t="n">
        <v>1.23582998</v>
      </c>
      <c r="R34" s="20" t="n">
        <v>0.75263923</v>
      </c>
    </row>
    <row r="35" spans="1:18">
      <c r="A35" s="15" t="s">
        <v>377</v>
      </c>
      <c r="B35" s="17" t="n">
        <v>3505</v>
      </c>
      <c r="C35" s="18">
        <f>(2998.0/B35*100)</f>
        <v/>
      </c>
      <c r="D35" s="19" t="n">
        <v>507</v>
      </c>
      <c r="E35" s="18" t="n">
        <v>28.47069289</v>
      </c>
      <c r="F35" s="20" t="n">
        <v>2.19759748</v>
      </c>
      <c r="G35" s="18" t="n">
        <v>71.31288447999999</v>
      </c>
      <c r="H35" s="20" t="n">
        <v>2.20709544</v>
      </c>
      <c r="I35" s="18" t="s">
        <v>349</v>
      </c>
      <c r="J35" s="20" t="s">
        <v>349</v>
      </c>
      <c r="K35" s="18" t="n">
        <v>0</v>
      </c>
      <c r="L35" s="20" t="n">
        <v>0</v>
      </c>
      <c r="M35" s="18" t="n">
        <v>0</v>
      </c>
      <c r="N35" s="20" t="n">
        <v>0</v>
      </c>
      <c r="O35" s="18" t="n">
        <v>0</v>
      </c>
      <c r="P35" s="20" t="n">
        <v>0</v>
      </c>
      <c r="Q35" s="18" t="n">
        <v>0.21642263</v>
      </c>
      <c r="R35" s="20" t="n">
        <v>0.16599618</v>
      </c>
    </row>
    <row r="36" spans="1:18">
      <c r="A36" s="15" t="s">
        <v>378</v>
      </c>
      <c r="B36" s="17" t="n">
        <v>3332</v>
      </c>
      <c r="C36" s="18">
        <f>(2936.0/B36*100)</f>
        <v/>
      </c>
      <c r="D36" s="19" t="n">
        <v>396</v>
      </c>
      <c r="E36" s="18" t="n">
        <v>32.41606449</v>
      </c>
      <c r="F36" s="20" t="n">
        <v>2.37203428</v>
      </c>
      <c r="G36" s="18" t="n">
        <v>66.70982205999999</v>
      </c>
      <c r="H36" s="20" t="n">
        <v>2.3589019</v>
      </c>
      <c r="I36" s="18" t="s">
        <v>349</v>
      </c>
      <c r="J36" s="20" t="s">
        <v>349</v>
      </c>
      <c r="K36" s="18" t="n">
        <v>0.57786106</v>
      </c>
      <c r="L36" s="20" t="n">
        <v>0.33893626</v>
      </c>
      <c r="M36" s="18" t="n">
        <v>0</v>
      </c>
      <c r="N36" s="20" t="n">
        <v>0</v>
      </c>
      <c r="O36" s="18" t="n">
        <v>0</v>
      </c>
      <c r="P36" s="20" t="n">
        <v>0</v>
      </c>
      <c r="Q36" s="18" t="n">
        <v>0.2962524</v>
      </c>
      <c r="R36" s="20" t="n">
        <v>0.31392106</v>
      </c>
    </row>
    <row r="37" spans="1:18">
      <c r="A37" s="15" t="s">
        <v>379</v>
      </c>
      <c r="B37" s="17" t="n">
        <v>2727</v>
      </c>
      <c r="C37" s="18">
        <f>(2394.0/B37*100)</f>
        <v/>
      </c>
      <c r="D37" s="19" t="n">
        <v>333</v>
      </c>
      <c r="E37" s="18" t="n">
        <v>29.15561034</v>
      </c>
      <c r="F37" s="20" t="n">
        <v>2.71084404</v>
      </c>
      <c r="G37" s="18" t="n">
        <v>68.87562697</v>
      </c>
      <c r="H37" s="20" t="n">
        <v>2.65664912</v>
      </c>
      <c r="I37" s="18" t="s">
        <v>349</v>
      </c>
      <c r="J37" s="20" t="s">
        <v>349</v>
      </c>
      <c r="K37" s="18" t="n">
        <v>0.49740137</v>
      </c>
      <c r="L37" s="20" t="n">
        <v>0.49332224</v>
      </c>
      <c r="M37" s="18" t="n">
        <v>0</v>
      </c>
      <c r="N37" s="20" t="n">
        <v>0</v>
      </c>
      <c r="O37" s="18" t="n">
        <v>0</v>
      </c>
      <c r="P37" s="20" t="n">
        <v>0</v>
      </c>
      <c r="Q37" s="18" t="n">
        <v>1.47136131</v>
      </c>
      <c r="R37" s="20" t="n">
        <v>0.65729403</v>
      </c>
    </row>
    <row r="38" spans="1:18">
      <c r="A38" s="15" t="s">
        <v>380</v>
      </c>
      <c r="B38" s="17" t="n">
        <v>3053</v>
      </c>
      <c r="C38" s="18">
        <f>(2516.0/B38*100)</f>
        <v/>
      </c>
      <c r="D38" s="19" t="n">
        <v>537</v>
      </c>
      <c r="E38" s="18" t="n">
        <v>16.00894812</v>
      </c>
      <c r="F38" s="20" t="n">
        <v>2.19839472</v>
      </c>
      <c r="G38" s="18" t="n">
        <v>83.99105188</v>
      </c>
      <c r="H38" s="20" t="n">
        <v>2.19839472</v>
      </c>
      <c r="I38" s="18" t="s">
        <v>349</v>
      </c>
      <c r="J38" s="20" t="s">
        <v>349</v>
      </c>
      <c r="K38" s="18" t="n">
        <v>0</v>
      </c>
      <c r="L38" s="20" t="n">
        <v>0</v>
      </c>
      <c r="M38" s="18" t="n">
        <v>0</v>
      </c>
      <c r="N38" s="20" t="n">
        <v>0</v>
      </c>
      <c r="O38" s="18" t="n">
        <v>0</v>
      </c>
      <c r="P38" s="20" t="n">
        <v>0</v>
      </c>
      <c r="Q38" s="18" t="n">
        <v>0</v>
      </c>
      <c r="R38" s="20" t="n">
        <v>0</v>
      </c>
    </row>
    <row r="39" spans="1:18">
      <c r="A39" s="15" t="s">
        <v>381</v>
      </c>
      <c r="B39" s="17" t="n">
        <v>2957</v>
      </c>
      <c r="C39" s="18">
        <f>(2589.0/B39*100)</f>
        <v/>
      </c>
      <c r="D39" s="19" t="n">
        <v>368</v>
      </c>
      <c r="E39" s="18" t="n">
        <v>56.92414445</v>
      </c>
      <c r="F39" s="20" t="n">
        <v>2.79114753</v>
      </c>
      <c r="G39" s="18" t="n">
        <v>43.07585555</v>
      </c>
      <c r="H39" s="20" t="n">
        <v>2.79114753</v>
      </c>
      <c r="I39" s="18" t="s">
        <v>349</v>
      </c>
      <c r="J39" s="20" t="s">
        <v>349</v>
      </c>
      <c r="K39" s="18" t="n">
        <v>0</v>
      </c>
      <c r="L39" s="20" t="n">
        <v>0</v>
      </c>
      <c r="M39" s="18" t="n">
        <v>0</v>
      </c>
      <c r="N39" s="20" t="n">
        <v>0</v>
      </c>
      <c r="O39" s="18" t="n">
        <v>0</v>
      </c>
      <c r="P39" s="20" t="n">
        <v>0</v>
      </c>
      <c r="Q39" s="18" t="n">
        <v>0</v>
      </c>
      <c r="R39" s="20" t="n">
        <v>0</v>
      </c>
    </row>
    <row r="40" spans="1:18">
      <c r="A40" s="15" t="s">
        <v>382</v>
      </c>
      <c r="B40" s="17" t="n">
        <v>7235</v>
      </c>
      <c r="C40" s="18">
        <f>(6360.0/B40*100)</f>
        <v/>
      </c>
      <c r="D40" s="19" t="n">
        <v>875</v>
      </c>
      <c r="E40" s="18" t="n">
        <v>28.10027337</v>
      </c>
      <c r="F40" s="20" t="n">
        <v>2.5322141</v>
      </c>
      <c r="G40" s="18" t="n">
        <v>70.69454343</v>
      </c>
      <c r="H40" s="20" t="n">
        <v>2.44813277</v>
      </c>
      <c r="I40" s="18" t="s">
        <v>349</v>
      </c>
      <c r="J40" s="20" t="s">
        <v>349</v>
      </c>
      <c r="K40" s="18" t="n">
        <v>0</v>
      </c>
      <c r="L40" s="20" t="n">
        <v>0</v>
      </c>
      <c r="M40" s="18" t="n">
        <v>0</v>
      </c>
      <c r="N40" s="20" t="n">
        <v>0</v>
      </c>
      <c r="O40" s="18" t="n">
        <v>0</v>
      </c>
      <c r="P40" s="20" t="n">
        <v>0</v>
      </c>
      <c r="Q40" s="18" t="n">
        <v>1.2051832</v>
      </c>
      <c r="R40" s="20" t="n">
        <v>0.7126676199999999</v>
      </c>
    </row>
    <row r="41" spans="1:18">
      <c r="A41" s="15" t="s">
        <v>383</v>
      </c>
      <c r="B41" s="17" t="n">
        <v>2858</v>
      </c>
      <c r="C41" s="18">
        <f>(2497.0/B41*100)</f>
        <v/>
      </c>
      <c r="D41" s="19" t="n">
        <v>361</v>
      </c>
      <c r="E41" s="18" t="n">
        <v>39.62237488</v>
      </c>
      <c r="F41" s="20" t="n">
        <v>3.14776702</v>
      </c>
      <c r="G41" s="18" t="n">
        <v>59.26865692</v>
      </c>
      <c r="H41" s="20" t="n">
        <v>3.35363525</v>
      </c>
      <c r="I41" s="18" t="s">
        <v>349</v>
      </c>
      <c r="J41" s="20" t="s">
        <v>349</v>
      </c>
      <c r="K41" s="18" t="n">
        <v>0.26517298</v>
      </c>
      <c r="L41" s="20" t="n">
        <v>0.25661694</v>
      </c>
      <c r="M41" s="18" t="n">
        <v>0</v>
      </c>
      <c r="N41" s="20" t="n">
        <v>0</v>
      </c>
      <c r="O41" s="18" t="n">
        <v>0</v>
      </c>
      <c r="P41" s="20" t="n">
        <v>0</v>
      </c>
      <c r="Q41" s="18" t="n">
        <v>0.84379521</v>
      </c>
      <c r="R41" s="20" t="n">
        <v>0.48821614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(9779.0/B46*100)</f>
        <v/>
      </c>
      <c r="D46" s="19" t="n">
        <v>1289</v>
      </c>
      <c r="E46" s="18" t="n">
        <v>65.42798806</v>
      </c>
      <c r="F46" s="20" t="n">
        <v>1.78296672</v>
      </c>
      <c r="G46" s="18" t="n">
        <v>32.37296712</v>
      </c>
      <c r="H46" s="20" t="n">
        <v>1.78645223</v>
      </c>
      <c r="I46" s="18" t="s">
        <v>349</v>
      </c>
      <c r="J46" s="20" t="s">
        <v>349</v>
      </c>
      <c r="K46" s="18" t="n">
        <v>0.44144045</v>
      </c>
      <c r="L46" s="20" t="n">
        <v>0.23834197</v>
      </c>
      <c r="M46" s="18" t="n">
        <v>0</v>
      </c>
      <c r="N46" s="20" t="n">
        <v>0</v>
      </c>
      <c r="O46" s="18" t="n">
        <v>0</v>
      </c>
      <c r="P46" s="20" t="n">
        <v>0</v>
      </c>
      <c r="Q46" s="18" t="n">
        <v>1.75760437</v>
      </c>
      <c r="R46" s="20" t="n">
        <v>0.43553232</v>
      </c>
    </row>
    <row r="47" spans="1:18">
      <c r="A47" s="15" t="s">
        <v>389</v>
      </c>
      <c r="B47" s="17" t="n">
        <v>3105</v>
      </c>
      <c r="C47" s="18">
        <f>(2744.0/B47*100)</f>
        <v/>
      </c>
      <c r="D47" s="19" t="n">
        <v>361</v>
      </c>
      <c r="E47" s="18" t="n">
        <v>47.33423367</v>
      </c>
      <c r="F47" s="20" t="n">
        <v>2.97254725</v>
      </c>
      <c r="G47" s="18" t="n">
        <v>51.89121349</v>
      </c>
      <c r="H47" s="20" t="n">
        <v>2.91190213</v>
      </c>
      <c r="I47" s="18" t="s">
        <v>349</v>
      </c>
      <c r="J47" s="20" t="s">
        <v>349</v>
      </c>
      <c r="K47" s="18" t="n">
        <v>0.52078907</v>
      </c>
      <c r="L47" s="20" t="n">
        <v>0.36383362</v>
      </c>
      <c r="M47" s="18" t="n">
        <v>0</v>
      </c>
      <c r="N47" s="20" t="n">
        <v>0</v>
      </c>
      <c r="O47" s="18" t="n">
        <v>0</v>
      </c>
      <c r="P47" s="20" t="n">
        <v>0</v>
      </c>
      <c r="Q47" s="18" t="n">
        <v>0.25376377</v>
      </c>
      <c r="R47" s="20" t="n">
        <v>0.25294417</v>
      </c>
    </row>
    <row r="48" spans="1:18">
      <c r="A48" s="15" t="s">
        <v>390</v>
      </c>
      <c r="B48" s="17" t="n">
        <v>5159</v>
      </c>
      <c r="C48" s="18">
        <f>(4518.0/B48*100)</f>
        <v/>
      </c>
      <c r="D48" s="19" t="n">
        <v>641</v>
      </c>
      <c r="E48" s="18" t="n">
        <v>19.30673564</v>
      </c>
      <c r="F48" s="20" t="n">
        <v>2.13299814</v>
      </c>
      <c r="G48" s="18" t="n">
        <v>79.54271226</v>
      </c>
      <c r="H48" s="20" t="n">
        <v>2.14842225</v>
      </c>
      <c r="I48" s="18" t="s">
        <v>349</v>
      </c>
      <c r="J48" s="20" t="s">
        <v>349</v>
      </c>
      <c r="K48" s="18" t="n">
        <v>0.87880308</v>
      </c>
      <c r="L48" s="20" t="n">
        <v>0.45764995</v>
      </c>
      <c r="M48" s="18" t="n">
        <v>0</v>
      </c>
      <c r="N48" s="20" t="n">
        <v>0</v>
      </c>
      <c r="O48" s="18" t="n">
        <v>0</v>
      </c>
      <c r="P48" s="20" t="n">
        <v>0</v>
      </c>
      <c r="Q48" s="18" t="n">
        <v>0.27174902</v>
      </c>
      <c r="R48" s="20" t="n">
        <v>0.28377241</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(4941.0/B50*100)</f>
        <v/>
      </c>
      <c r="D50" s="19" t="n">
        <v>696</v>
      </c>
      <c r="E50" s="18" t="n">
        <v>58.46790475</v>
      </c>
      <c r="F50" s="20" t="n">
        <v>2.47480536</v>
      </c>
      <c r="G50" s="18" t="n">
        <v>39.79189213</v>
      </c>
      <c r="H50" s="20" t="n">
        <v>2.44751669</v>
      </c>
      <c r="I50" s="18" t="s">
        <v>349</v>
      </c>
      <c r="J50" s="20" t="s">
        <v>349</v>
      </c>
      <c r="K50" s="18" t="n">
        <v>1.33088136</v>
      </c>
      <c r="L50" s="20" t="n">
        <v>0.60747241</v>
      </c>
      <c r="M50" s="18" t="n">
        <v>0</v>
      </c>
      <c r="N50" s="20" t="n">
        <v>0</v>
      </c>
      <c r="O50" s="18" t="n">
        <v>0</v>
      </c>
      <c r="P50" s="20" t="n">
        <v>0</v>
      </c>
      <c r="Q50" s="18" t="n">
        <v>0.40932177</v>
      </c>
      <c r="R50" s="20" t="n">
        <v>0.38006226</v>
      </c>
    </row>
    <row r="51" spans="1:18">
      <c r="A51" s="15" t="s">
        <v>393</v>
      </c>
      <c r="B51" s="17" t="n">
        <v>3372</v>
      </c>
      <c r="C51" s="18">
        <f>(2642.0/B51*100)</f>
        <v/>
      </c>
      <c r="D51" s="19" t="n">
        <v>730</v>
      </c>
      <c r="E51" s="18" t="n">
        <v>61.59199024</v>
      </c>
      <c r="F51" s="20" t="n">
        <v>2.33760753</v>
      </c>
      <c r="G51" s="18" t="n">
        <v>36.90673338</v>
      </c>
      <c r="H51" s="20" t="n">
        <v>2.30039726</v>
      </c>
      <c r="I51" s="18" t="s">
        <v>349</v>
      </c>
      <c r="J51" s="20" t="s">
        <v>349</v>
      </c>
      <c r="K51" s="18" t="n">
        <v>0.27846986</v>
      </c>
      <c r="L51" s="20" t="n">
        <v>0.20029828</v>
      </c>
      <c r="M51" s="18" t="n">
        <v>0</v>
      </c>
      <c r="N51" s="20" t="n">
        <v>0</v>
      </c>
      <c r="O51" s="18" t="n">
        <v>0</v>
      </c>
      <c r="P51" s="20" t="n">
        <v>0</v>
      </c>
      <c r="Q51" s="18" t="n">
        <v>1.22280653</v>
      </c>
      <c r="R51" s="20" t="n">
        <v>0.47654143</v>
      </c>
    </row>
    <row r="52" spans="1:18">
      <c r="A52" s="15" t="s">
        <v>394</v>
      </c>
      <c r="B52" s="17" t="n">
        <v>2796</v>
      </c>
      <c r="C52" s="18">
        <f>(2454.0/B52*100)</f>
        <v/>
      </c>
      <c r="D52" s="19" t="n">
        <v>342</v>
      </c>
      <c r="E52" s="18" t="n">
        <v>35.19757353</v>
      </c>
      <c r="F52" s="20" t="n">
        <v>2.67790992</v>
      </c>
      <c r="G52" s="18" t="n">
        <v>64.80242647</v>
      </c>
      <c r="H52" s="20" t="n">
        <v>2.67790992</v>
      </c>
      <c r="I52" s="18" t="s">
        <v>349</v>
      </c>
      <c r="J52" s="20" t="s">
        <v>349</v>
      </c>
      <c r="K52" s="18" t="n">
        <v>0</v>
      </c>
      <c r="L52" s="20" t="n">
        <v>0</v>
      </c>
      <c r="M52" s="18" t="n">
        <v>0</v>
      </c>
      <c r="N52" s="20" t="n">
        <v>0</v>
      </c>
      <c r="O52" s="18" t="n">
        <v>0</v>
      </c>
      <c r="P52" s="20" t="n">
        <v>0</v>
      </c>
      <c r="Q52" s="18" t="n">
        <v>0</v>
      </c>
      <c r="R52" s="20" t="n">
        <v>0</v>
      </c>
    </row>
    <row r="53" spans="1:18">
      <c r="A53" s="15" t="s">
        <v>395</v>
      </c>
      <c r="B53" s="17" t="n">
        <v>2811</v>
      </c>
      <c r="C53" s="18">
        <f>(2468.0/B53*100)</f>
        <v/>
      </c>
      <c r="D53" s="19" t="n">
        <v>343</v>
      </c>
      <c r="E53" s="18" t="n">
        <v>50.00602454</v>
      </c>
      <c r="F53" s="20" t="n">
        <v>3.0676871</v>
      </c>
      <c r="G53" s="18" t="n">
        <v>47.83767196</v>
      </c>
      <c r="H53" s="20" t="n">
        <v>3.08986308</v>
      </c>
      <c r="I53" s="18" t="s">
        <v>349</v>
      </c>
      <c r="J53" s="20" t="s">
        <v>349</v>
      </c>
      <c r="K53" s="18" t="n">
        <v>0.9007121300000001</v>
      </c>
      <c r="L53" s="20" t="n">
        <v>0.63272845</v>
      </c>
      <c r="M53" s="18" t="n">
        <v>0</v>
      </c>
      <c r="N53" s="20" t="n">
        <v>0</v>
      </c>
      <c r="O53" s="18" t="n">
        <v>0</v>
      </c>
      <c r="P53" s="20" t="n">
        <v>0</v>
      </c>
      <c r="Q53" s="18" t="n">
        <v>1.25559136</v>
      </c>
      <c r="R53" s="20" t="n">
        <v>0.6609240199999999</v>
      </c>
    </row>
    <row r="54" spans="1:18">
      <c r="A54" s="15" t="s">
        <v>396</v>
      </c>
      <c r="B54" s="17" t="n">
        <v>2266</v>
      </c>
      <c r="C54" s="18">
        <f>(1925.0/B54*100)</f>
        <v/>
      </c>
      <c r="D54" s="19" t="n">
        <v>341</v>
      </c>
      <c r="E54" s="18" t="n">
        <v>82.41592113</v>
      </c>
      <c r="F54" s="20" t="n">
        <v>2.21446003</v>
      </c>
      <c r="G54" s="18" t="n">
        <v>13.27233601</v>
      </c>
      <c r="H54" s="20" t="n">
        <v>1.87708709</v>
      </c>
      <c r="I54" s="18" t="s">
        <v>349</v>
      </c>
      <c r="J54" s="20" t="s">
        <v>349</v>
      </c>
      <c r="K54" s="18" t="n">
        <v>3.15904566</v>
      </c>
      <c r="L54" s="20" t="n">
        <v>1.10440553</v>
      </c>
      <c r="M54" s="18" t="n">
        <v>0</v>
      </c>
      <c r="N54" s="20" t="n">
        <v>0</v>
      </c>
      <c r="O54" s="18" t="n">
        <v>0</v>
      </c>
      <c r="P54" s="20" t="n">
        <v>0</v>
      </c>
      <c r="Q54" s="18" t="n">
        <v>1.1526972</v>
      </c>
      <c r="R54" s="20" t="n">
        <v>0.563944</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22.13703968</v>
      </c>
      <c r="F56" s="20" t="n">
        <v>2.62309032</v>
      </c>
      <c r="G56" s="18" t="n">
        <v>77.86296032</v>
      </c>
      <c r="H56" s="20" t="n">
        <v>2.62309032</v>
      </c>
      <c r="I56" s="18" t="s">
        <v>349</v>
      </c>
      <c r="J56" s="20" t="s">
        <v>349</v>
      </c>
      <c r="K56" s="18" t="n">
        <v>0</v>
      </c>
      <c r="L56" s="20" t="n">
        <v>0</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(2904.0/B61*100)</f>
        <v/>
      </c>
      <c r="D61" s="19" t="n">
        <v>420</v>
      </c>
      <c r="E61" s="18" t="n">
        <v>28.98092482</v>
      </c>
      <c r="F61" s="20" t="n">
        <v>2.33523733</v>
      </c>
      <c r="G61" s="18" t="n">
        <v>70.62130132</v>
      </c>
      <c r="H61" s="20" t="n">
        <v>2.38917407</v>
      </c>
      <c r="I61" s="18" t="s">
        <v>349</v>
      </c>
      <c r="J61" s="20" t="s">
        <v>349</v>
      </c>
      <c r="K61" s="18" t="n">
        <v>0</v>
      </c>
      <c r="L61" s="20" t="n">
        <v>0</v>
      </c>
      <c r="M61" s="18" t="n">
        <v>0</v>
      </c>
      <c r="N61" s="20" t="n">
        <v>0</v>
      </c>
      <c r="O61" s="18" t="n">
        <v>0</v>
      </c>
      <c r="P61" s="20" t="n">
        <v>0</v>
      </c>
      <c r="Q61" s="18" t="n">
        <v>0.39777386</v>
      </c>
      <c r="R61" s="20" t="n">
        <v>0.31946923</v>
      </c>
    </row>
    <row r="62" spans="1:18">
      <c r="A62" s="15" t="s">
        <v>404</v>
      </c>
      <c r="B62" s="17" t="n">
        <v>2246</v>
      </c>
      <c r="C62" s="18">
        <f>(1946.0/B62*100)</f>
        <v/>
      </c>
      <c r="D62" s="19" t="n">
        <v>300</v>
      </c>
      <c r="E62" s="18" t="n">
        <v>19.29702558</v>
      </c>
      <c r="F62" s="20" t="n">
        <v>2.40786782</v>
      </c>
      <c r="G62" s="18" t="n">
        <v>80.70297442</v>
      </c>
      <c r="H62" s="20" t="n">
        <v>2.40786782</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(2542.0/B66*100)</f>
        <v/>
      </c>
      <c r="D66" s="19" t="n">
        <v>352</v>
      </c>
      <c r="E66" s="18" t="n">
        <v>46.1519749</v>
      </c>
      <c r="F66" s="20" t="n">
        <v>2.78393487</v>
      </c>
      <c r="G66" s="18" t="n">
        <v>52.22339734</v>
      </c>
      <c r="H66" s="20" t="n">
        <v>2.7514718</v>
      </c>
      <c r="I66" s="18" t="s">
        <v>349</v>
      </c>
      <c r="J66" s="20" t="s">
        <v>349</v>
      </c>
      <c r="K66" s="18" t="n">
        <v>0.28171734</v>
      </c>
      <c r="L66" s="20" t="n">
        <v>0.28124131</v>
      </c>
      <c r="M66" s="18" t="n">
        <v>0</v>
      </c>
      <c r="N66" s="20" t="n">
        <v>0</v>
      </c>
      <c r="O66" s="18" t="n">
        <v>0</v>
      </c>
      <c r="P66" s="20" t="n">
        <v>0</v>
      </c>
      <c r="Q66" s="18" t="n">
        <v>1.34291041</v>
      </c>
      <c r="R66" s="20" t="n">
        <v>0.57790741</v>
      </c>
    </row>
    <row r="67" spans="1:18">
      <c r="A67" s="15" t="s">
        <v>409</v>
      </c>
      <c r="B67" s="17" t="n">
        <v>3511</v>
      </c>
      <c r="C67" s="18">
        <f>(3100.0/B67*100)</f>
        <v/>
      </c>
      <c r="D67" s="19" t="n">
        <v>411</v>
      </c>
      <c r="E67" s="18" t="n">
        <v>59.48121221</v>
      </c>
      <c r="F67" s="20" t="n">
        <v>2.35410335</v>
      </c>
      <c r="G67" s="18" t="n">
        <v>39.13596193</v>
      </c>
      <c r="H67" s="20" t="n">
        <v>2.51454123</v>
      </c>
      <c r="I67" s="18" t="s">
        <v>349</v>
      </c>
      <c r="J67" s="20" t="s">
        <v>349</v>
      </c>
      <c r="K67" s="18" t="n">
        <v>0</v>
      </c>
      <c r="L67" s="20" t="n">
        <v>0</v>
      </c>
      <c r="M67" s="18" t="n">
        <v>0</v>
      </c>
      <c r="N67" s="20" t="n">
        <v>0</v>
      </c>
      <c r="O67" s="18" t="n">
        <v>0</v>
      </c>
      <c r="P67" s="20" t="n">
        <v>0</v>
      </c>
      <c r="Q67" s="18" t="n">
        <v>1.38282585</v>
      </c>
      <c r="R67" s="20" t="n">
        <v>0.62681179</v>
      </c>
    </row>
    <row r="68" spans="1:18">
      <c r="A68" s="15" t="s">
        <v>410</v>
      </c>
      <c r="B68" s="17" t="n">
        <v>6049</v>
      </c>
      <c r="C68" s="18">
        <f>(5047.0/B68*100)</f>
        <v/>
      </c>
      <c r="D68" s="19" t="n">
        <v>1002</v>
      </c>
      <c r="E68" s="18" t="n">
        <v>56.09152142</v>
      </c>
      <c r="F68" s="20" t="n">
        <v>1.74178435</v>
      </c>
      <c r="G68" s="18" t="n">
        <v>40.84484227</v>
      </c>
      <c r="H68" s="20" t="n">
        <v>1.64677117</v>
      </c>
      <c r="I68" s="18" t="s">
        <v>349</v>
      </c>
      <c r="J68" s="20" t="s">
        <v>349</v>
      </c>
      <c r="K68" s="18" t="n">
        <v>1.8077357</v>
      </c>
      <c r="L68" s="20" t="n">
        <v>0.43880515</v>
      </c>
      <c r="M68" s="18" t="n">
        <v>0</v>
      </c>
      <c r="N68" s="20" t="n">
        <v>0</v>
      </c>
      <c r="O68" s="18" t="n">
        <v>0</v>
      </c>
      <c r="P68" s="20" t="n">
        <v>0</v>
      </c>
      <c r="Q68" s="18" t="n">
        <v>1.2559006</v>
      </c>
      <c r="R68" s="20" t="n">
        <v>0.34517931</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(2539.0/B70*100)</f>
        <v/>
      </c>
      <c r="D70" s="19" t="n">
        <v>390</v>
      </c>
      <c r="E70" s="18" t="n">
        <v>33.10035254</v>
      </c>
      <c r="F70" s="20" t="n">
        <v>3.1878441</v>
      </c>
      <c r="G70" s="18" t="n">
        <v>66.65723346</v>
      </c>
      <c r="H70" s="20" t="n">
        <v>3.2191433</v>
      </c>
      <c r="I70" s="18" t="s">
        <v>349</v>
      </c>
      <c r="J70" s="20" t="s">
        <v>349</v>
      </c>
      <c r="K70" s="18" t="n">
        <v>0</v>
      </c>
      <c r="L70" s="20" t="n">
        <v>0</v>
      </c>
      <c r="M70" s="18" t="n">
        <v>0</v>
      </c>
      <c r="N70" s="20" t="n">
        <v>0</v>
      </c>
      <c r="O70" s="18" t="n">
        <v>0</v>
      </c>
      <c r="P70" s="20" t="n">
        <v>0</v>
      </c>
      <c r="Q70" s="18" t="n">
        <v>0.24241401</v>
      </c>
      <c r="R70" s="20" t="n">
        <v>0.25248244</v>
      </c>
    </row>
    <row r="71" spans="1:18">
      <c r="A71" s="15" t="s">
        <v>413</v>
      </c>
      <c r="B71" s="17" t="n">
        <v>3142</v>
      </c>
      <c r="C71" s="18">
        <f>(2754.0/B71*100)</f>
        <v/>
      </c>
      <c r="D71" s="19" t="n">
        <v>388</v>
      </c>
      <c r="E71" s="18" t="n">
        <v>15.49244055</v>
      </c>
      <c r="F71" s="20" t="n">
        <v>2.21360424</v>
      </c>
      <c r="G71" s="18" t="n">
        <v>84.35548529</v>
      </c>
      <c r="H71" s="20" t="n">
        <v>2.27139999</v>
      </c>
      <c r="I71" s="18" t="s">
        <v>349</v>
      </c>
      <c r="J71" s="20" t="s">
        <v>349</v>
      </c>
      <c r="K71" s="18" t="n">
        <v>0.15207417</v>
      </c>
      <c r="L71" s="20" t="n">
        <v>0.15462322</v>
      </c>
      <c r="M71" s="18" t="n">
        <v>0</v>
      </c>
      <c r="N71" s="20" t="n">
        <v>0</v>
      </c>
      <c r="O71" s="18" t="n">
        <v>0</v>
      </c>
      <c r="P71" s="20" t="n">
        <v>0</v>
      </c>
      <c r="Q71" s="18" t="n">
        <v>0</v>
      </c>
      <c r="R71" s="20" t="n">
        <v>0</v>
      </c>
    </row>
    <row r="72" spans="1:18">
      <c r="A72" s="15" t="s">
        <v>414</v>
      </c>
      <c r="B72" s="17" t="n">
        <v>3889</v>
      </c>
      <c r="C72" s="18">
        <f>(3421.0/B72*100)</f>
        <v/>
      </c>
      <c r="D72" s="19" t="n">
        <v>468</v>
      </c>
      <c r="E72" s="18" t="n">
        <v>23.53840163</v>
      </c>
      <c r="F72" s="20" t="n">
        <v>2.33763983</v>
      </c>
      <c r="G72" s="18" t="n">
        <v>76.32644211</v>
      </c>
      <c r="H72" s="20" t="n">
        <v>2.33341708</v>
      </c>
      <c r="I72" s="18" t="s">
        <v>349</v>
      </c>
      <c r="J72" s="20" t="s">
        <v>349</v>
      </c>
      <c r="K72" s="18" t="n">
        <v>0</v>
      </c>
      <c r="L72" s="20" t="n">
        <v>0</v>
      </c>
      <c r="M72" s="18" t="n">
        <v>0</v>
      </c>
      <c r="N72" s="20" t="n">
        <v>0</v>
      </c>
      <c r="O72" s="18" t="n">
        <v>0</v>
      </c>
      <c r="P72" s="20" t="n">
        <v>0</v>
      </c>
      <c r="Q72" s="18" t="n">
        <v>0.13515625</v>
      </c>
      <c r="R72" s="20" t="n">
        <v>0.13482967</v>
      </c>
    </row>
    <row r="73" spans="1:18">
      <c r="A73" s="15" t="s">
        <v>415</v>
      </c>
      <c r="B73" s="17" t="n">
        <v>3597</v>
      </c>
      <c r="C73" s="18">
        <f>(3168.0/B73*100)</f>
        <v/>
      </c>
      <c r="D73" s="19" t="n">
        <v>429</v>
      </c>
      <c r="E73" s="18" t="n">
        <v>54.1014662</v>
      </c>
      <c r="F73" s="20" t="n">
        <v>3.16278999</v>
      </c>
      <c r="G73" s="18" t="n">
        <v>45.1626253</v>
      </c>
      <c r="H73" s="20" t="n">
        <v>3.18277829</v>
      </c>
      <c r="I73" s="18" t="s">
        <v>349</v>
      </c>
      <c r="J73" s="20" t="s">
        <v>349</v>
      </c>
      <c r="K73" s="18" t="n">
        <v>0</v>
      </c>
      <c r="L73" s="20" t="n">
        <v>0</v>
      </c>
      <c r="M73" s="18" t="n">
        <v>0</v>
      </c>
      <c r="N73" s="20" t="n">
        <v>0</v>
      </c>
      <c r="O73" s="18" t="n">
        <v>0</v>
      </c>
      <c r="P73" s="20" t="n">
        <v>0</v>
      </c>
      <c r="Q73" s="18" t="n">
        <v>0.7359085</v>
      </c>
      <c r="R73" s="20" t="n">
        <v>0.46369979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(2134.0/B75*100)</f>
        <v/>
      </c>
      <c r="D75" s="19" t="n">
        <v>272</v>
      </c>
      <c r="E75" s="18" t="n">
        <v>45.61282544</v>
      </c>
      <c r="F75" s="20" t="n">
        <v>3.23653928</v>
      </c>
      <c r="G75" s="18" t="n">
        <v>51.31577843</v>
      </c>
      <c r="H75" s="20" t="n">
        <v>3.22317379</v>
      </c>
      <c r="I75" s="18" t="s">
        <v>349</v>
      </c>
      <c r="J75" s="20" t="s">
        <v>349</v>
      </c>
      <c r="K75" s="18" t="n">
        <v>1.41226073</v>
      </c>
      <c r="L75" s="20" t="n">
        <v>0.66012917</v>
      </c>
      <c r="M75" s="18" t="n">
        <v>0</v>
      </c>
      <c r="N75" s="20" t="n">
        <v>0</v>
      </c>
      <c r="O75" s="18" t="n">
        <v>0</v>
      </c>
      <c r="P75" s="20" t="n">
        <v>0</v>
      </c>
      <c r="Q75" s="18" t="n">
        <v>1.6591354</v>
      </c>
      <c r="R75" s="20" t="n">
        <v>0.70360762</v>
      </c>
    </row>
    <row r="76" spans="1:18">
      <c r="A76" s="15" t="s">
        <v>418</v>
      </c>
      <c r="B76" s="17" t="n">
        <v>7052</v>
      </c>
      <c r="C76" s="18">
        <f>(6184.0/B76*100)</f>
        <v/>
      </c>
      <c r="D76" s="19" t="n">
        <v>868</v>
      </c>
      <c r="E76" s="18" t="n">
        <v>51.65136844</v>
      </c>
      <c r="F76" s="20" t="n">
        <v>2.05885013</v>
      </c>
      <c r="G76" s="18" t="n">
        <v>47.3307126</v>
      </c>
      <c r="H76" s="20" t="n">
        <v>1.99390789</v>
      </c>
      <c r="I76" s="18" t="s">
        <v>349</v>
      </c>
      <c r="J76" s="20" t="s">
        <v>349</v>
      </c>
      <c r="K76" s="18" t="n">
        <v>0.29178774</v>
      </c>
      <c r="L76" s="20" t="n">
        <v>0.19430817</v>
      </c>
      <c r="M76" s="18" t="n">
        <v>0</v>
      </c>
      <c r="N76" s="20" t="n">
        <v>0</v>
      </c>
      <c r="O76" s="18" t="n">
        <v>0</v>
      </c>
      <c r="P76" s="20" t="n">
        <v>0</v>
      </c>
      <c r="Q76" s="18" t="n">
        <v>0.72613123</v>
      </c>
      <c r="R76" s="20" t="n">
        <v>0.37546002</v>
      </c>
    </row>
    <row r="77" spans="1:18">
      <c r="A77" s="15" t="s">
        <v>419</v>
      </c>
      <c r="B77" s="17" t="n">
        <v>2908</v>
      </c>
      <c r="C77" s="18">
        <f>(2542.0/B77*100)</f>
        <v/>
      </c>
      <c r="D77" s="19" t="n">
        <v>366</v>
      </c>
      <c r="E77" s="18" t="n">
        <v>50.44728483</v>
      </c>
      <c r="F77" s="20" t="n">
        <v>3.16812789</v>
      </c>
      <c r="G77" s="18" t="n">
        <v>46.95001875</v>
      </c>
      <c r="H77" s="20" t="n">
        <v>3.01143914</v>
      </c>
      <c r="I77" s="18" t="s">
        <v>349</v>
      </c>
      <c r="J77" s="20" t="s">
        <v>349</v>
      </c>
      <c r="K77" s="18" t="n">
        <v>0.99178803</v>
      </c>
      <c r="L77" s="20" t="n">
        <v>0.65005658</v>
      </c>
      <c r="M77" s="18" t="n">
        <v>0</v>
      </c>
      <c r="N77" s="20" t="n">
        <v>0</v>
      </c>
      <c r="O77" s="18" t="n">
        <v>0</v>
      </c>
      <c r="P77" s="20" t="n">
        <v>0</v>
      </c>
      <c r="Q77" s="18" t="n">
        <v>1.61090838</v>
      </c>
      <c r="R77" s="20" t="n">
        <v>0.64874772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(3655.0/B81*100)</f>
        <v/>
      </c>
      <c r="D81" s="19" t="n">
        <v>508</v>
      </c>
      <c r="E81" s="18" t="n">
        <v>37.60662214</v>
      </c>
      <c r="F81" s="20" t="n">
        <v>2.27489891</v>
      </c>
      <c r="G81" s="18" t="n">
        <v>61.33470649</v>
      </c>
      <c r="H81" s="20" t="n">
        <v>2.21409054</v>
      </c>
      <c r="I81" s="18" t="s">
        <v>349</v>
      </c>
      <c r="J81" s="20" t="s">
        <v>349</v>
      </c>
      <c r="K81" s="18" t="n">
        <v>0</v>
      </c>
      <c r="L81" s="20" t="n">
        <v>0</v>
      </c>
      <c r="M81" s="18" t="n">
        <v>0</v>
      </c>
      <c r="N81" s="20" t="n">
        <v>0</v>
      </c>
      <c r="O81" s="18" t="n">
        <v>0</v>
      </c>
      <c r="P81" s="20" t="n">
        <v>0</v>
      </c>
      <c r="Q81" s="18" t="n">
        <v>1.05867137</v>
      </c>
      <c r="R81" s="20" t="n">
        <v>0.50079173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(6424.0/B7*100)</f>
        <v/>
      </c>
      <c r="D7" s="19" t="n">
        <v>943</v>
      </c>
      <c r="E7" s="18" t="n">
        <v>65.07506495</v>
      </c>
      <c r="F7" s="20" t="n">
        <v>1.98914956</v>
      </c>
      <c r="G7" s="18" t="n">
        <v>33.82046509</v>
      </c>
      <c r="H7" s="20" t="n">
        <v>2.00034222</v>
      </c>
      <c r="I7" s="18" t="s">
        <v>349</v>
      </c>
      <c r="J7" s="20" t="s">
        <v>349</v>
      </c>
      <c r="K7" s="18" t="n">
        <v>0.28109137</v>
      </c>
      <c r="L7" s="20" t="n">
        <v>0.19343932</v>
      </c>
      <c r="M7" s="18" t="n">
        <v>0</v>
      </c>
      <c r="N7" s="20" t="n">
        <v>0</v>
      </c>
      <c r="O7" s="18" t="n">
        <v>0</v>
      </c>
      <c r="P7" s="20" t="n">
        <v>0</v>
      </c>
      <c r="Q7" s="18" t="n">
        <v>0.82337859</v>
      </c>
      <c r="R7" s="20" t="n">
        <v>0.33444384</v>
      </c>
    </row>
    <row r="8" spans="1:18">
      <c r="A8" s="15" t="s">
        <v>350</v>
      </c>
      <c r="B8" s="17" t="n">
        <v>3564</v>
      </c>
      <c r="C8" s="18">
        <f>(3116.0/B8*100)</f>
        <v/>
      </c>
      <c r="D8" s="19" t="n">
        <v>448</v>
      </c>
      <c r="E8" s="18" t="n">
        <v>69.93773305000001</v>
      </c>
      <c r="F8" s="20" t="n">
        <v>2.69937096</v>
      </c>
      <c r="G8" s="18" t="n">
        <v>27.45702027</v>
      </c>
      <c r="H8" s="20" t="n">
        <v>2.52682046</v>
      </c>
      <c r="I8" s="18" t="s">
        <v>349</v>
      </c>
      <c r="J8" s="20" t="s">
        <v>349</v>
      </c>
      <c r="K8" s="18" t="n">
        <v>0.55796462</v>
      </c>
      <c r="L8" s="20" t="n">
        <v>0.55140596</v>
      </c>
      <c r="M8" s="18" t="n">
        <v>0</v>
      </c>
      <c r="N8" s="20" t="n">
        <v>0</v>
      </c>
      <c r="O8" s="18" t="n">
        <v>0</v>
      </c>
      <c r="P8" s="20" t="n">
        <v>0</v>
      </c>
      <c r="Q8" s="18" t="n">
        <v>2.04728206</v>
      </c>
      <c r="R8" s="20" t="n">
        <v>0.72132148</v>
      </c>
    </row>
    <row r="9" spans="1:18">
      <c r="A9" s="15" t="s">
        <v>351</v>
      </c>
      <c r="B9" s="17" t="n">
        <v>4899</v>
      </c>
      <c r="C9" s="18">
        <f>(4166.0/B9*100)</f>
        <v/>
      </c>
      <c r="D9" s="19" t="n">
        <v>733</v>
      </c>
      <c r="E9" s="18" t="n">
        <v>60.75473661</v>
      </c>
      <c r="F9" s="20" t="n">
        <v>2.11433099</v>
      </c>
      <c r="G9" s="18" t="n">
        <v>37.07692466</v>
      </c>
      <c r="H9" s="20" t="n">
        <v>2.12102908</v>
      </c>
      <c r="I9" s="18" t="s">
        <v>349</v>
      </c>
      <c r="J9" s="20" t="s">
        <v>349</v>
      </c>
      <c r="K9" s="18" t="n">
        <v>0.67576716</v>
      </c>
      <c r="L9" s="20" t="n">
        <v>0.298988</v>
      </c>
      <c r="M9" s="18" t="n">
        <v>0</v>
      </c>
      <c r="N9" s="20" t="n">
        <v>0</v>
      </c>
      <c r="O9" s="18" t="n">
        <v>0</v>
      </c>
      <c r="P9" s="20" t="n">
        <v>0</v>
      </c>
      <c r="Q9" s="18" t="n">
        <v>1.49257157</v>
      </c>
      <c r="R9" s="20" t="n">
        <v>0.39512713</v>
      </c>
    </row>
    <row r="10" spans="1:18">
      <c r="A10" s="15" t="s">
        <v>352</v>
      </c>
      <c r="B10" s="17" t="n">
        <v>10036</v>
      </c>
      <c r="C10" s="18">
        <f>(8805.0/B10*100)</f>
        <v/>
      </c>
      <c r="D10" s="19" t="n">
        <v>1231</v>
      </c>
      <c r="E10" s="18" t="n">
        <v>61.67352555</v>
      </c>
      <c r="F10" s="20" t="n">
        <v>1.98551369</v>
      </c>
      <c r="G10" s="18" t="n">
        <v>37.48574543</v>
      </c>
      <c r="H10" s="20" t="n">
        <v>1.97436129</v>
      </c>
      <c r="I10" s="18" t="s">
        <v>349</v>
      </c>
      <c r="J10" s="20" t="s">
        <v>349</v>
      </c>
      <c r="K10" s="18" t="n">
        <v>0.23350686</v>
      </c>
      <c r="L10" s="20" t="n">
        <v>0.1054257</v>
      </c>
      <c r="M10" s="18" t="n">
        <v>0</v>
      </c>
      <c r="N10" s="20" t="n">
        <v>0</v>
      </c>
      <c r="O10" s="18" t="n">
        <v>0</v>
      </c>
      <c r="P10" s="20" t="n">
        <v>0</v>
      </c>
      <c r="Q10" s="18" t="n">
        <v>0.60722216</v>
      </c>
      <c r="R10" s="20" t="n">
        <v>0.26575913</v>
      </c>
    </row>
    <row r="11" spans="1:18">
      <c r="A11" s="15" t="s">
        <v>353</v>
      </c>
      <c r="B11" s="17" t="n">
        <v>3553</v>
      </c>
      <c r="C11" s="18">
        <f>(3135.0/B11*100)</f>
        <v/>
      </c>
      <c r="D11" s="19" t="n">
        <v>418</v>
      </c>
      <c r="E11" s="18" t="n">
        <v>78.71389013</v>
      </c>
      <c r="F11" s="20" t="n">
        <v>2.54940287</v>
      </c>
      <c r="G11" s="18" t="n">
        <v>17.65235932</v>
      </c>
      <c r="H11" s="20" t="n">
        <v>2.45785737</v>
      </c>
      <c r="I11" s="18" t="s">
        <v>349</v>
      </c>
      <c r="J11" s="20" t="s">
        <v>349</v>
      </c>
      <c r="K11" s="18" t="n">
        <v>0</v>
      </c>
      <c r="L11" s="20" t="n">
        <v>0</v>
      </c>
      <c r="M11" s="18" t="n">
        <v>0</v>
      </c>
      <c r="N11" s="20" t="n">
        <v>0</v>
      </c>
      <c r="O11" s="18" t="n">
        <v>0</v>
      </c>
      <c r="P11" s="20" t="n">
        <v>0</v>
      </c>
      <c r="Q11" s="18" t="n">
        <v>3.63375054</v>
      </c>
      <c r="R11" s="20" t="n">
        <v>1.0784318</v>
      </c>
    </row>
    <row r="12" spans="1:18">
      <c r="A12" s="15" t="s">
        <v>354</v>
      </c>
      <c r="B12" s="17" t="n">
        <v>3472</v>
      </c>
      <c r="C12" s="18">
        <f>(2998.0/B12*100)</f>
        <v/>
      </c>
      <c r="D12" s="19" t="n">
        <v>474</v>
      </c>
      <c r="E12" s="18" t="n">
        <v>61.49734044</v>
      </c>
      <c r="F12" s="20" t="n">
        <v>2.54231787</v>
      </c>
      <c r="G12" s="18" t="n">
        <v>37.27964217</v>
      </c>
      <c r="H12" s="20" t="n">
        <v>2.62919069</v>
      </c>
      <c r="I12" s="18" t="s">
        <v>349</v>
      </c>
      <c r="J12" s="20" t="s">
        <v>349</v>
      </c>
      <c r="K12" s="18" t="n">
        <v>0</v>
      </c>
      <c r="L12" s="20" t="n">
        <v>0</v>
      </c>
      <c r="M12" s="18" t="n">
        <v>0</v>
      </c>
      <c r="N12" s="20" t="n">
        <v>0</v>
      </c>
      <c r="O12" s="18" t="n">
        <v>0</v>
      </c>
      <c r="P12" s="20" t="n">
        <v>0</v>
      </c>
      <c r="Q12" s="18" t="n">
        <v>1.22301738</v>
      </c>
      <c r="R12" s="20" t="n">
        <v>0.64746438</v>
      </c>
    </row>
    <row r="13" spans="1:18">
      <c r="A13" s="15" t="s">
        <v>355</v>
      </c>
      <c r="B13" s="17" t="n">
        <v>3559</v>
      </c>
      <c r="C13" s="18">
        <f>(2964.0/B13*100)</f>
        <v/>
      </c>
      <c r="D13" s="19" t="n">
        <v>595</v>
      </c>
      <c r="E13" s="18" t="n">
        <v>80.1062055</v>
      </c>
      <c r="F13" s="20" t="n">
        <v>1.97126204</v>
      </c>
      <c r="G13" s="18" t="n">
        <v>17.82502033</v>
      </c>
      <c r="H13" s="20" t="n">
        <v>1.88048658</v>
      </c>
      <c r="I13" s="18" t="s">
        <v>349</v>
      </c>
      <c r="J13" s="20" t="s">
        <v>349</v>
      </c>
      <c r="K13" s="18" t="n">
        <v>0.5584</v>
      </c>
      <c r="L13" s="20" t="n">
        <v>0.31118318</v>
      </c>
      <c r="M13" s="18" t="n">
        <v>0</v>
      </c>
      <c r="N13" s="20" t="n">
        <v>0</v>
      </c>
      <c r="O13" s="18" t="n">
        <v>0</v>
      </c>
      <c r="P13" s="20" t="n">
        <v>0</v>
      </c>
      <c r="Q13" s="18" t="n">
        <v>1.51037416</v>
      </c>
      <c r="R13" s="20" t="n">
        <v>0.59074357</v>
      </c>
    </row>
    <row r="14" spans="1:18">
      <c r="A14" s="15" t="s">
        <v>356</v>
      </c>
      <c r="B14" s="17" t="n">
        <v>2799</v>
      </c>
      <c r="C14" s="18">
        <f>(2450.0/B14*100)</f>
        <v/>
      </c>
      <c r="D14" s="19" t="n">
        <v>349</v>
      </c>
      <c r="E14" s="18" t="n">
        <v>56.12054529</v>
      </c>
      <c r="F14" s="20" t="n">
        <v>3.22210083</v>
      </c>
      <c r="G14" s="18" t="n">
        <v>42.98307344</v>
      </c>
      <c r="H14" s="20" t="n">
        <v>3.10980004</v>
      </c>
      <c r="I14" s="18" t="s">
        <v>349</v>
      </c>
      <c r="J14" s="20" t="s">
        <v>349</v>
      </c>
      <c r="K14" s="18" t="n">
        <v>0</v>
      </c>
      <c r="L14" s="20" t="n">
        <v>0</v>
      </c>
      <c r="M14" s="18" t="n">
        <v>0</v>
      </c>
      <c r="N14" s="20" t="n">
        <v>0</v>
      </c>
      <c r="O14" s="18" t="n">
        <v>0</v>
      </c>
      <c r="P14" s="20" t="n">
        <v>0</v>
      </c>
      <c r="Q14" s="18" t="n">
        <v>0.89638126</v>
      </c>
      <c r="R14" s="20" t="n">
        <v>0.70350013</v>
      </c>
    </row>
    <row r="15" spans="1:18">
      <c r="A15" s="15" t="s">
        <v>357</v>
      </c>
      <c r="B15" s="17" t="n">
        <v>3019</v>
      </c>
      <c r="C15" s="18">
        <f>(2628.0/B15*100)</f>
        <v/>
      </c>
      <c r="D15" s="19" t="n">
        <v>391</v>
      </c>
      <c r="E15" s="18" t="n">
        <v>85.38478537</v>
      </c>
      <c r="F15" s="20" t="n">
        <v>1.57705991</v>
      </c>
      <c r="G15" s="18" t="n">
        <v>12.83623022</v>
      </c>
      <c r="H15" s="20" t="n">
        <v>1.48044481</v>
      </c>
      <c r="I15" s="18" t="s">
        <v>349</v>
      </c>
      <c r="J15" s="20" t="s">
        <v>349</v>
      </c>
      <c r="K15" s="18" t="n">
        <v>0.94484011</v>
      </c>
      <c r="L15" s="20" t="n">
        <v>0.53901492</v>
      </c>
      <c r="M15" s="18" t="n">
        <v>0</v>
      </c>
      <c r="N15" s="20" t="n">
        <v>0</v>
      </c>
      <c r="O15" s="18" t="n">
        <v>0</v>
      </c>
      <c r="P15" s="20" t="n">
        <v>0</v>
      </c>
      <c r="Q15" s="18" t="n">
        <v>0.8341442999999999</v>
      </c>
      <c r="R15" s="20" t="n">
        <v>0.47443861</v>
      </c>
    </row>
    <row r="16" spans="1:18">
      <c r="A16" s="15" t="s">
        <v>358</v>
      </c>
      <c r="B16" s="17" t="n">
        <v>2997</v>
      </c>
      <c r="C16" s="18">
        <f>(2643.0/B16*100)</f>
        <v/>
      </c>
      <c r="D16" s="19" t="n">
        <v>354</v>
      </c>
      <c r="E16" s="18" t="n">
        <v>47.69951186</v>
      </c>
      <c r="F16" s="20" t="n">
        <v>2.37237028</v>
      </c>
      <c r="G16" s="18" t="n">
        <v>49.58482444</v>
      </c>
      <c r="H16" s="20" t="n">
        <v>2.46182724</v>
      </c>
      <c r="I16" s="18" t="s">
        <v>349</v>
      </c>
      <c r="J16" s="20" t="s">
        <v>349</v>
      </c>
      <c r="K16" s="18" t="n">
        <v>1.38656966</v>
      </c>
      <c r="L16" s="20" t="n">
        <v>0.58436717</v>
      </c>
      <c r="M16" s="18" t="n">
        <v>0</v>
      </c>
      <c r="N16" s="20" t="n">
        <v>0</v>
      </c>
      <c r="O16" s="18" t="n">
        <v>0</v>
      </c>
      <c r="P16" s="20" t="n">
        <v>0</v>
      </c>
      <c r="Q16" s="18" t="n">
        <v>1.32909404</v>
      </c>
      <c r="R16" s="20" t="n">
        <v>0.6049204</v>
      </c>
    </row>
    <row r="17" spans="1:18">
      <c r="A17" s="15" t="s">
        <v>359</v>
      </c>
      <c r="B17" s="17" t="n">
        <v>3307</v>
      </c>
      <c r="C17" s="18">
        <f>(2841.0/B17*100)</f>
        <v/>
      </c>
      <c r="D17" s="19" t="n">
        <v>466</v>
      </c>
      <c r="E17" s="18" t="n">
        <v>70.45441334</v>
      </c>
      <c r="F17" s="20" t="n">
        <v>2.21248262</v>
      </c>
      <c r="G17" s="18" t="n">
        <v>23.37709823</v>
      </c>
      <c r="H17" s="20" t="n">
        <v>1.56403127</v>
      </c>
      <c r="I17" s="18" t="s">
        <v>349</v>
      </c>
      <c r="J17" s="20" t="s">
        <v>349</v>
      </c>
      <c r="K17" s="18" t="n">
        <v>3.48258965</v>
      </c>
      <c r="L17" s="20" t="n">
        <v>1.29781142</v>
      </c>
      <c r="M17" s="18" t="n">
        <v>0</v>
      </c>
      <c r="N17" s="20" t="n">
        <v>0</v>
      </c>
      <c r="O17" s="18" t="n">
        <v>0</v>
      </c>
      <c r="P17" s="20" t="n">
        <v>0</v>
      </c>
      <c r="Q17" s="18" t="n">
        <v>2.68589878</v>
      </c>
      <c r="R17" s="20" t="n">
        <v>1.17208366</v>
      </c>
    </row>
    <row r="18" spans="1:18">
      <c r="A18" s="15" t="s">
        <v>360</v>
      </c>
      <c r="B18" s="17" t="n">
        <v>2826</v>
      </c>
      <c r="C18" s="18">
        <f>(2478.0/B18*100)</f>
        <v/>
      </c>
      <c r="D18" s="19" t="n">
        <v>348</v>
      </c>
      <c r="E18" s="18" t="n">
        <v>67.59640137</v>
      </c>
      <c r="F18" s="20" t="n">
        <v>2.34395643</v>
      </c>
      <c r="G18" s="18" t="n">
        <v>30.86979264</v>
      </c>
      <c r="H18" s="20" t="n">
        <v>2.39905087</v>
      </c>
      <c r="I18" s="18" t="s">
        <v>349</v>
      </c>
      <c r="J18" s="20" t="s">
        <v>349</v>
      </c>
      <c r="K18" s="18" t="n">
        <v>1.27082743</v>
      </c>
      <c r="L18" s="20" t="n">
        <v>0.74913498</v>
      </c>
      <c r="M18" s="18" t="n">
        <v>0</v>
      </c>
      <c r="N18" s="20" t="n">
        <v>0</v>
      </c>
      <c r="O18" s="18" t="n">
        <v>0</v>
      </c>
      <c r="P18" s="20" t="n">
        <v>0</v>
      </c>
      <c r="Q18" s="18" t="n">
        <v>0.26297856</v>
      </c>
      <c r="R18" s="20" t="n">
        <v>0.26219048</v>
      </c>
    </row>
    <row r="19" spans="1:18">
      <c r="A19" s="15" t="s">
        <v>361</v>
      </c>
      <c r="B19" s="17" t="n">
        <v>2808</v>
      </c>
      <c r="C19" s="18">
        <f>(2454.0/B19*100)</f>
        <v/>
      </c>
      <c r="D19" s="19" t="n">
        <v>354</v>
      </c>
      <c r="E19" s="18" t="n">
        <v>81.92083038</v>
      </c>
      <c r="F19" s="20" t="n">
        <v>2.01965776</v>
      </c>
      <c r="G19" s="18" t="n">
        <v>17.85790584</v>
      </c>
      <c r="H19" s="20" t="n">
        <v>1.99183718</v>
      </c>
      <c r="I19" s="18" t="s">
        <v>349</v>
      </c>
      <c r="J19" s="20" t="s">
        <v>349</v>
      </c>
      <c r="K19" s="18" t="n">
        <v>0</v>
      </c>
      <c r="L19" s="20" t="n">
        <v>0</v>
      </c>
      <c r="M19" s="18" t="n">
        <v>0</v>
      </c>
      <c r="N19" s="20" t="n">
        <v>0</v>
      </c>
      <c r="O19" s="18" t="n">
        <v>0</v>
      </c>
      <c r="P19" s="20" t="n">
        <v>0</v>
      </c>
      <c r="Q19" s="18" t="n">
        <v>0.22126378</v>
      </c>
      <c r="R19" s="20" t="n">
        <v>0.22301494</v>
      </c>
    </row>
    <row r="20" spans="1:18">
      <c r="A20" s="15" t="s">
        <v>362</v>
      </c>
      <c r="B20" s="17" t="n">
        <v>1630</v>
      </c>
      <c r="C20" s="18">
        <f>(1432.0/B20*100)</f>
        <v/>
      </c>
      <c r="D20" s="19" t="n">
        <v>198</v>
      </c>
      <c r="E20" s="18" t="n">
        <v>84.84784430000001</v>
      </c>
      <c r="F20" s="20" t="n">
        <v>2.50063564</v>
      </c>
      <c r="G20" s="18" t="n">
        <v>13.74622385</v>
      </c>
      <c r="H20" s="20" t="n">
        <v>2.42347252</v>
      </c>
      <c r="I20" s="18" t="s">
        <v>349</v>
      </c>
      <c r="J20" s="20" t="s">
        <v>349</v>
      </c>
      <c r="K20" s="18" t="n">
        <v>0.48050787</v>
      </c>
      <c r="L20" s="20" t="n">
        <v>0.4356691</v>
      </c>
      <c r="M20" s="18" t="n">
        <v>0</v>
      </c>
      <c r="N20" s="20" t="n">
        <v>0</v>
      </c>
      <c r="O20" s="18" t="n">
        <v>0</v>
      </c>
      <c r="P20" s="20" t="n">
        <v>0</v>
      </c>
      <c r="Q20" s="18" t="n">
        <v>0.92542398</v>
      </c>
      <c r="R20" s="20" t="n">
        <v>0.63583204</v>
      </c>
    </row>
    <row r="21" spans="1:18">
      <c r="A21" s="15" t="s">
        <v>363</v>
      </c>
      <c r="B21" s="17" t="n">
        <v>2908</v>
      </c>
      <c r="C21" s="18">
        <f>(2400.0/B21*100)</f>
        <v/>
      </c>
      <c r="D21" s="19" t="n">
        <v>508</v>
      </c>
      <c r="E21" s="18" t="n">
        <v>55.32900061</v>
      </c>
      <c r="F21" s="20" t="n">
        <v>2.58059386</v>
      </c>
      <c r="G21" s="18" t="n">
        <v>43.90322659</v>
      </c>
      <c r="H21" s="20" t="n">
        <v>2.49886035</v>
      </c>
      <c r="I21" s="18" t="s">
        <v>349</v>
      </c>
      <c r="J21" s="20" t="s">
        <v>349</v>
      </c>
      <c r="K21" s="18" t="n">
        <v>0.30322023</v>
      </c>
      <c r="L21" s="20" t="n">
        <v>0.21454015</v>
      </c>
      <c r="M21" s="18" t="n">
        <v>0</v>
      </c>
      <c r="N21" s="20" t="n">
        <v>0</v>
      </c>
      <c r="O21" s="18" t="n">
        <v>0</v>
      </c>
      <c r="P21" s="20" t="n">
        <v>0</v>
      </c>
      <c r="Q21" s="18" t="n">
        <v>0.46455257</v>
      </c>
      <c r="R21" s="20" t="n">
        <v>0.33271568</v>
      </c>
    </row>
    <row r="22" spans="1:18">
      <c r="A22" s="15" t="s">
        <v>364</v>
      </c>
      <c r="B22" s="17" t="n">
        <v>2931</v>
      </c>
      <c r="C22" s="18">
        <f>(2562.0/B22*100)</f>
        <v/>
      </c>
      <c r="D22" s="19" t="n">
        <v>369</v>
      </c>
      <c r="E22" s="18" t="n">
        <v>55.52733198</v>
      </c>
      <c r="F22" s="20" t="n">
        <v>2.52013502</v>
      </c>
      <c r="G22" s="18" t="n">
        <v>41.84735944</v>
      </c>
      <c r="H22" s="20" t="n">
        <v>2.9008127</v>
      </c>
      <c r="I22" s="18" t="s">
        <v>349</v>
      </c>
      <c r="J22" s="20" t="s">
        <v>349</v>
      </c>
      <c r="K22" s="18" t="n">
        <v>0.73301008</v>
      </c>
      <c r="L22" s="20" t="n">
        <v>0.50829486</v>
      </c>
      <c r="M22" s="18" t="n">
        <v>0</v>
      </c>
      <c r="N22" s="20" t="n">
        <v>0</v>
      </c>
      <c r="O22" s="18" t="n">
        <v>0</v>
      </c>
      <c r="P22" s="20" t="n">
        <v>0</v>
      </c>
      <c r="Q22" s="18" t="n">
        <v>1.8922985</v>
      </c>
      <c r="R22" s="20" t="n">
        <v>1.21766522</v>
      </c>
    </row>
    <row r="23" spans="1:18">
      <c r="A23" s="15" t="s">
        <v>365</v>
      </c>
      <c r="B23" s="17" t="n">
        <v>5791</v>
      </c>
      <c r="C23" s="18">
        <f>(5090.0/B23*100)</f>
        <v/>
      </c>
      <c r="D23" s="19" t="n">
        <v>701</v>
      </c>
      <c r="E23" s="18" t="n">
        <v>54.15963731</v>
      </c>
      <c r="F23" s="20" t="n">
        <v>2.86139227</v>
      </c>
      <c r="G23" s="18" t="n">
        <v>44.71110897</v>
      </c>
      <c r="H23" s="20" t="n">
        <v>2.80365996</v>
      </c>
      <c r="I23" s="18" t="s">
        <v>349</v>
      </c>
      <c r="J23" s="20" t="s">
        <v>349</v>
      </c>
      <c r="K23" s="18" t="n">
        <v>0.22931106</v>
      </c>
      <c r="L23" s="20" t="n">
        <v>0.22872687</v>
      </c>
      <c r="M23" s="18" t="n">
        <v>0</v>
      </c>
      <c r="N23" s="20" t="n">
        <v>0</v>
      </c>
      <c r="O23" s="18" t="n">
        <v>0</v>
      </c>
      <c r="P23" s="20" t="n">
        <v>0</v>
      </c>
      <c r="Q23" s="18" t="n">
        <v>0.89994266</v>
      </c>
      <c r="R23" s="20" t="n">
        <v>0.66236043</v>
      </c>
    </row>
    <row r="24" spans="1:18">
      <c r="A24" s="15" t="s">
        <v>366</v>
      </c>
      <c r="B24" s="17" t="n">
        <v>3338</v>
      </c>
      <c r="C24" s="18">
        <f>(2938.0/B24*100)</f>
        <v/>
      </c>
      <c r="D24" s="19" t="n">
        <v>400</v>
      </c>
      <c r="E24" s="18" t="n">
        <v>25.16928419</v>
      </c>
      <c r="F24" s="20" t="n">
        <v>1.9579086</v>
      </c>
      <c r="G24" s="18" t="n">
        <v>74.42984266000001</v>
      </c>
      <c r="H24" s="20" t="n">
        <v>1.95991834</v>
      </c>
      <c r="I24" s="18" t="s">
        <v>349</v>
      </c>
      <c r="J24" s="20" t="s">
        <v>349</v>
      </c>
      <c r="K24" s="18" t="n">
        <v>0.17720359</v>
      </c>
      <c r="L24" s="20" t="n">
        <v>0.17756785</v>
      </c>
      <c r="M24" s="18" t="n">
        <v>0</v>
      </c>
      <c r="N24" s="20" t="n">
        <v>0</v>
      </c>
      <c r="O24" s="18" t="n">
        <v>0</v>
      </c>
      <c r="P24" s="20" t="n">
        <v>0</v>
      </c>
      <c r="Q24" s="18" t="n">
        <v>0.22366956</v>
      </c>
      <c r="R24" s="20" t="n">
        <v>0.23257831</v>
      </c>
    </row>
    <row r="25" spans="1:18">
      <c r="A25" s="15" t="s">
        <v>367</v>
      </c>
      <c r="B25" s="17" t="n">
        <v>2912</v>
      </c>
      <c r="C25" s="18">
        <f>(2539.0/B25*100)</f>
        <v/>
      </c>
      <c r="D25" s="19" t="n">
        <v>373</v>
      </c>
      <c r="E25" s="18" t="n">
        <v>25.93265828</v>
      </c>
      <c r="F25" s="20" t="n">
        <v>2.34422765</v>
      </c>
      <c r="G25" s="18" t="n">
        <v>72.12729392</v>
      </c>
      <c r="H25" s="20" t="n">
        <v>2.44042733</v>
      </c>
      <c r="I25" s="18" t="s">
        <v>349</v>
      </c>
      <c r="J25" s="20" t="s">
        <v>349</v>
      </c>
      <c r="K25" s="18" t="n">
        <v>1.38420622</v>
      </c>
      <c r="L25" s="20" t="n">
        <v>0.62552061</v>
      </c>
      <c r="M25" s="18" t="n">
        <v>0</v>
      </c>
      <c r="N25" s="20" t="n">
        <v>0</v>
      </c>
      <c r="O25" s="18" t="n">
        <v>0</v>
      </c>
      <c r="P25" s="20" t="n">
        <v>0</v>
      </c>
      <c r="Q25" s="18" t="n">
        <v>0.5558415799999999</v>
      </c>
      <c r="R25" s="20" t="n">
        <v>0.3927629</v>
      </c>
    </row>
    <row r="26" spans="1:18">
      <c r="A26" s="15" t="s">
        <v>368</v>
      </c>
      <c r="B26" s="17" t="n">
        <v>2450</v>
      </c>
      <c r="C26" s="18">
        <f>(2134.0/B26*100)</f>
        <v/>
      </c>
      <c r="D26" s="19" t="n">
        <v>316</v>
      </c>
      <c r="E26" s="18" t="n">
        <v>54.88134294</v>
      </c>
      <c r="F26" s="20" t="n">
        <v>3.16030389</v>
      </c>
      <c r="G26" s="18" t="n">
        <v>45.11865706</v>
      </c>
      <c r="H26" s="20" t="n">
        <v>3.16030389</v>
      </c>
      <c r="I26" s="18" t="s">
        <v>349</v>
      </c>
      <c r="J26" s="20" t="s">
        <v>349</v>
      </c>
      <c r="K26" s="18" t="n">
        <v>0</v>
      </c>
      <c r="L26" s="20" t="n">
        <v>0</v>
      </c>
      <c r="M26" s="18" t="n">
        <v>0</v>
      </c>
      <c r="N26" s="20" t="n">
        <v>0</v>
      </c>
      <c r="O26" s="18" t="n">
        <v>0</v>
      </c>
      <c r="P26" s="20" t="n">
        <v>0</v>
      </c>
      <c r="Q26" s="18" t="n">
        <v>0</v>
      </c>
      <c r="R26" s="20" t="n">
        <v>0</v>
      </c>
    </row>
    <row r="27" spans="1:18">
      <c r="A27" s="15" t="s">
        <v>369</v>
      </c>
      <c r="B27" s="17" t="n">
        <v>2616</v>
      </c>
      <c r="C27" s="18">
        <f>(2306.0/B27*100)</f>
        <v/>
      </c>
      <c r="D27" s="19" t="n">
        <v>310</v>
      </c>
      <c r="E27" s="18" t="n">
        <v>56.44389304</v>
      </c>
      <c r="F27" s="20" t="n">
        <v>2.73740468</v>
      </c>
      <c r="G27" s="18" t="n">
        <v>42.18747879</v>
      </c>
      <c r="H27" s="20" t="n">
        <v>2.73191745</v>
      </c>
      <c r="I27" s="18" t="s">
        <v>349</v>
      </c>
      <c r="J27" s="20" t="s">
        <v>349</v>
      </c>
      <c r="K27" s="18" t="n">
        <v>0.64474451</v>
      </c>
      <c r="L27" s="20" t="n">
        <v>0.45310908</v>
      </c>
      <c r="M27" s="18" t="n">
        <v>0</v>
      </c>
      <c r="N27" s="20" t="n">
        <v>0</v>
      </c>
      <c r="O27" s="18" t="n">
        <v>0</v>
      </c>
      <c r="P27" s="20" t="n">
        <v>0</v>
      </c>
      <c r="Q27" s="18" t="n">
        <v>0.72388365</v>
      </c>
      <c r="R27" s="20" t="n">
        <v>0.50509515</v>
      </c>
    </row>
    <row r="28" spans="1:18">
      <c r="A28" s="15" t="s">
        <v>370</v>
      </c>
      <c r="B28" s="17" t="n">
        <v>3765</v>
      </c>
      <c r="C28" s="18">
        <f>(3284.0/B28*100)</f>
        <v/>
      </c>
      <c r="D28" s="19" t="n">
        <v>481</v>
      </c>
      <c r="E28" s="18" t="n">
        <v>86.82991654</v>
      </c>
      <c r="F28" s="20" t="n">
        <v>1.43854051</v>
      </c>
      <c r="G28" s="18" t="n">
        <v>12.46838502</v>
      </c>
      <c r="H28" s="20" t="n">
        <v>1.44663376</v>
      </c>
      <c r="I28" s="18" t="s">
        <v>349</v>
      </c>
      <c r="J28" s="20" t="s">
        <v>349</v>
      </c>
      <c r="K28" s="18" t="n">
        <v>0.58729446</v>
      </c>
      <c r="L28" s="20" t="n">
        <v>0.44759043</v>
      </c>
      <c r="M28" s="18" t="n">
        <v>0</v>
      </c>
      <c r="N28" s="20" t="n">
        <v>0</v>
      </c>
      <c r="O28" s="18" t="n">
        <v>0</v>
      </c>
      <c r="P28" s="20" t="n">
        <v>0</v>
      </c>
      <c r="Q28" s="18" t="n">
        <v>0.11440397</v>
      </c>
      <c r="R28" s="20" t="n">
        <v>0.11857682</v>
      </c>
    </row>
    <row r="29" spans="1:18">
      <c r="A29" s="15" t="s">
        <v>371</v>
      </c>
      <c r="B29" s="17" t="n">
        <v>2685</v>
      </c>
      <c r="C29" s="18">
        <f>(2279.0/B29*100)</f>
        <v/>
      </c>
      <c r="D29" s="19" t="n">
        <v>406</v>
      </c>
      <c r="E29" s="18" t="n">
        <v>77.97485877</v>
      </c>
      <c r="F29" s="20" t="n">
        <v>2.58747223</v>
      </c>
      <c r="G29" s="18" t="n">
        <v>19.08441449</v>
      </c>
      <c r="H29" s="20" t="n">
        <v>2.03380779</v>
      </c>
      <c r="I29" s="18" t="s">
        <v>349</v>
      </c>
      <c r="J29" s="20" t="s">
        <v>349</v>
      </c>
      <c r="K29" s="18" t="n">
        <v>1.80528745</v>
      </c>
      <c r="L29" s="20" t="n">
        <v>0.9017107599999999</v>
      </c>
      <c r="M29" s="18" t="n">
        <v>0</v>
      </c>
      <c r="N29" s="20" t="n">
        <v>0</v>
      </c>
      <c r="O29" s="18" t="n">
        <v>0</v>
      </c>
      <c r="P29" s="20" t="n">
        <v>0</v>
      </c>
      <c r="Q29" s="18" t="n">
        <v>1.1354393</v>
      </c>
      <c r="R29" s="20" t="n">
        <v>0.80821238</v>
      </c>
    </row>
    <row r="30" spans="1:18">
      <c r="A30" s="15" t="s">
        <v>372</v>
      </c>
      <c r="B30" s="17" t="n">
        <v>2263</v>
      </c>
      <c r="C30" s="18">
        <f>(2002.0/B30*100)</f>
        <v/>
      </c>
      <c r="D30" s="19" t="n">
        <v>261</v>
      </c>
      <c r="E30" s="18" t="n">
        <v>68.86105599</v>
      </c>
      <c r="F30" s="20" t="n">
        <v>3.05877851</v>
      </c>
      <c r="G30" s="18" t="n">
        <v>30.84457165</v>
      </c>
      <c r="H30" s="20" t="n">
        <v>3.13490797</v>
      </c>
      <c r="I30" s="18" t="s">
        <v>349</v>
      </c>
      <c r="J30" s="20" t="s">
        <v>349</v>
      </c>
      <c r="K30" s="18" t="n">
        <v>0</v>
      </c>
      <c r="L30" s="20" t="n">
        <v>0</v>
      </c>
      <c r="M30" s="18" t="n">
        <v>0</v>
      </c>
      <c r="N30" s="20" t="n">
        <v>0</v>
      </c>
      <c r="O30" s="18" t="n">
        <v>0</v>
      </c>
      <c r="P30" s="20" t="n">
        <v>0</v>
      </c>
      <c r="Q30" s="18" t="n">
        <v>0.29437236</v>
      </c>
      <c r="R30" s="20" t="n">
        <v>0.41338869</v>
      </c>
    </row>
    <row r="31" spans="1:18">
      <c r="A31" s="15" t="s">
        <v>373</v>
      </c>
      <c r="B31" s="17" t="n">
        <v>2750</v>
      </c>
      <c r="C31" s="18">
        <f>(2421.0/B31*100)</f>
        <v/>
      </c>
      <c r="D31" s="19" t="n">
        <v>329</v>
      </c>
      <c r="E31" s="18" t="n">
        <v>62.55299512</v>
      </c>
      <c r="F31" s="20" t="n">
        <v>3.06904916</v>
      </c>
      <c r="G31" s="18" t="n">
        <v>34.40750309</v>
      </c>
      <c r="H31" s="20" t="n">
        <v>2.99721541</v>
      </c>
      <c r="I31" s="18" t="s">
        <v>349</v>
      </c>
      <c r="J31" s="20" t="s">
        <v>349</v>
      </c>
      <c r="K31" s="18" t="n">
        <v>0.89469119</v>
      </c>
      <c r="L31" s="20" t="n">
        <v>0.5253373099999999</v>
      </c>
      <c r="M31" s="18" t="n">
        <v>0</v>
      </c>
      <c r="N31" s="20" t="n">
        <v>0</v>
      </c>
      <c r="O31" s="18" t="n">
        <v>0</v>
      </c>
      <c r="P31" s="20" t="n">
        <v>0</v>
      </c>
      <c r="Q31" s="18" t="n">
        <v>2.1448106</v>
      </c>
      <c r="R31" s="20" t="n">
        <v>0.81735713</v>
      </c>
    </row>
    <row r="32" spans="1:18">
      <c r="A32" s="15" t="s">
        <v>374</v>
      </c>
      <c r="B32" s="17" t="n">
        <v>2269</v>
      </c>
      <c r="C32" s="18">
        <f>(1890.0/B32*100)</f>
        <v/>
      </c>
      <c r="D32" s="19" t="n">
        <v>379</v>
      </c>
      <c r="E32" s="18" t="n">
        <v>63.88026801</v>
      </c>
      <c r="F32" s="20" t="n">
        <v>2.83438578</v>
      </c>
      <c r="G32" s="18" t="n">
        <v>35.61247879</v>
      </c>
      <c r="H32" s="20" t="n">
        <v>2.84566883</v>
      </c>
      <c r="I32" s="18" t="s">
        <v>349</v>
      </c>
      <c r="J32" s="20" t="s">
        <v>349</v>
      </c>
      <c r="K32" s="18" t="n">
        <v>0</v>
      </c>
      <c r="L32" s="20" t="n">
        <v>0</v>
      </c>
      <c r="M32" s="18" t="n">
        <v>0</v>
      </c>
      <c r="N32" s="20" t="n">
        <v>0</v>
      </c>
      <c r="O32" s="18" t="n">
        <v>0</v>
      </c>
      <c r="P32" s="20" t="n">
        <v>0</v>
      </c>
      <c r="Q32" s="18" t="n">
        <v>0.5072532</v>
      </c>
      <c r="R32" s="20" t="n">
        <v>0.35291194</v>
      </c>
    </row>
    <row r="33" spans="1:18">
      <c r="A33" s="15" t="s">
        <v>375</v>
      </c>
      <c r="B33" s="17" t="n">
        <v>3674</v>
      </c>
      <c r="C33" s="18">
        <f>(3221.0/B33*100)</f>
        <v/>
      </c>
      <c r="D33" s="19" t="n">
        <v>453</v>
      </c>
      <c r="E33" s="18" t="n">
        <v>51.0018055</v>
      </c>
      <c r="F33" s="20" t="n">
        <v>2.99453761</v>
      </c>
      <c r="G33" s="18" t="n">
        <v>48.56439733</v>
      </c>
      <c r="H33" s="20" t="n">
        <v>3.01543579</v>
      </c>
      <c r="I33" s="18" t="s">
        <v>349</v>
      </c>
      <c r="J33" s="20" t="s">
        <v>349</v>
      </c>
      <c r="K33" s="18" t="n">
        <v>0.31941057</v>
      </c>
      <c r="L33" s="20" t="n">
        <v>0.27963821</v>
      </c>
      <c r="M33" s="18" t="n">
        <v>0</v>
      </c>
      <c r="N33" s="20" t="n">
        <v>0</v>
      </c>
      <c r="O33" s="18" t="n">
        <v>0</v>
      </c>
      <c r="P33" s="20" t="n">
        <v>0</v>
      </c>
      <c r="Q33" s="18" t="n">
        <v>0.1143866</v>
      </c>
      <c r="R33" s="20" t="n">
        <v>0.08051251</v>
      </c>
    </row>
    <row r="34" spans="1:18">
      <c r="A34" s="15" t="s">
        <v>376</v>
      </c>
      <c r="B34" s="17" t="n">
        <v>3315</v>
      </c>
      <c r="C34" s="18">
        <f>(2858.0/B34*100)</f>
        <v/>
      </c>
      <c r="D34" s="19" t="n">
        <v>457</v>
      </c>
      <c r="E34" s="18" t="n">
        <v>69.92823102</v>
      </c>
      <c r="F34" s="20" t="n">
        <v>2.55186695</v>
      </c>
      <c r="G34" s="18" t="n">
        <v>28.40361005</v>
      </c>
      <c r="H34" s="20" t="n">
        <v>2.62208204</v>
      </c>
      <c r="I34" s="18" t="s">
        <v>349</v>
      </c>
      <c r="J34" s="20" t="s">
        <v>349</v>
      </c>
      <c r="K34" s="18" t="n">
        <v>0.15841014</v>
      </c>
      <c r="L34" s="20" t="n">
        <v>0.15523052</v>
      </c>
      <c r="M34" s="18" t="n">
        <v>0</v>
      </c>
      <c r="N34" s="20" t="n">
        <v>0</v>
      </c>
      <c r="O34" s="18" t="n">
        <v>0</v>
      </c>
      <c r="P34" s="20" t="n">
        <v>0</v>
      </c>
      <c r="Q34" s="18" t="n">
        <v>1.50974879</v>
      </c>
      <c r="R34" s="20" t="n">
        <v>0.74989122</v>
      </c>
    </row>
    <row r="35" spans="1:18">
      <c r="A35" s="15" t="s">
        <v>377</v>
      </c>
      <c r="B35" s="17" t="n">
        <v>3505</v>
      </c>
      <c r="C35" s="18">
        <f>(2997.0/B35*100)</f>
        <v/>
      </c>
      <c r="D35" s="19" t="n">
        <v>508</v>
      </c>
      <c r="E35" s="18" t="n">
        <v>71.79293557</v>
      </c>
      <c r="F35" s="20" t="n">
        <v>2.83877847</v>
      </c>
      <c r="G35" s="18" t="n">
        <v>27.70770491</v>
      </c>
      <c r="H35" s="20" t="n">
        <v>2.81431425</v>
      </c>
      <c r="I35" s="18" t="s">
        <v>349</v>
      </c>
      <c r="J35" s="20" t="s">
        <v>349</v>
      </c>
      <c r="K35" s="18" t="n">
        <v>0.09584486</v>
      </c>
      <c r="L35" s="20" t="n">
        <v>0.09643297000000001</v>
      </c>
      <c r="M35" s="18" t="n">
        <v>0</v>
      </c>
      <c r="N35" s="20" t="n">
        <v>0</v>
      </c>
      <c r="O35" s="18" t="n">
        <v>0</v>
      </c>
      <c r="P35" s="20" t="n">
        <v>0</v>
      </c>
      <c r="Q35" s="18" t="n">
        <v>0.40351467</v>
      </c>
      <c r="R35" s="20" t="n">
        <v>0.18731619</v>
      </c>
    </row>
    <row r="36" spans="1:18">
      <c r="A36" s="15" t="s">
        <v>378</v>
      </c>
      <c r="B36" s="17" t="n">
        <v>3332</v>
      </c>
      <c r="C36" s="18">
        <f>(2936.0/B36*100)</f>
        <v/>
      </c>
      <c r="D36" s="19" t="n">
        <v>396</v>
      </c>
      <c r="E36" s="18" t="n">
        <v>86.63698432</v>
      </c>
      <c r="F36" s="20" t="n">
        <v>1.65497811</v>
      </c>
      <c r="G36" s="18" t="n">
        <v>12.34664069</v>
      </c>
      <c r="H36" s="20" t="n">
        <v>1.54990604</v>
      </c>
      <c r="I36" s="18" t="s">
        <v>349</v>
      </c>
      <c r="J36" s="20" t="s">
        <v>349</v>
      </c>
      <c r="K36" s="18" t="n">
        <v>0.57786106</v>
      </c>
      <c r="L36" s="20" t="n">
        <v>0.33893626</v>
      </c>
      <c r="M36" s="18" t="n">
        <v>0</v>
      </c>
      <c r="N36" s="20" t="n">
        <v>0</v>
      </c>
      <c r="O36" s="18" t="n">
        <v>0</v>
      </c>
      <c r="P36" s="20" t="n">
        <v>0</v>
      </c>
      <c r="Q36" s="18" t="n">
        <v>0.43851393</v>
      </c>
      <c r="R36" s="20" t="n">
        <v>0.43814789</v>
      </c>
    </row>
    <row r="37" spans="1:18">
      <c r="A37" s="15" t="s">
        <v>379</v>
      </c>
      <c r="B37" s="17" t="n">
        <v>2727</v>
      </c>
      <c r="C37" s="18">
        <f>(2394.0/B37*100)</f>
        <v/>
      </c>
      <c r="D37" s="19" t="n">
        <v>333</v>
      </c>
      <c r="E37" s="18" t="n">
        <v>85.71902892999999</v>
      </c>
      <c r="F37" s="20" t="n">
        <v>2.00823625</v>
      </c>
      <c r="G37" s="18" t="n">
        <v>11.82108516</v>
      </c>
      <c r="H37" s="20" t="n">
        <v>1.82080404</v>
      </c>
      <c r="I37" s="18" t="s">
        <v>349</v>
      </c>
      <c r="J37" s="20" t="s">
        <v>349</v>
      </c>
      <c r="K37" s="18" t="n">
        <v>0.49740137</v>
      </c>
      <c r="L37" s="20" t="n">
        <v>0.49332224</v>
      </c>
      <c r="M37" s="18" t="n">
        <v>0</v>
      </c>
      <c r="N37" s="20" t="n">
        <v>0</v>
      </c>
      <c r="O37" s="18" t="n">
        <v>0</v>
      </c>
      <c r="P37" s="20" t="n">
        <v>0</v>
      </c>
      <c r="Q37" s="18" t="n">
        <v>1.96248453</v>
      </c>
      <c r="R37" s="20" t="n">
        <v>0.73902731</v>
      </c>
    </row>
    <row r="38" spans="1:18">
      <c r="A38" s="15" t="s">
        <v>380</v>
      </c>
      <c r="B38" s="17" t="n">
        <v>3053</v>
      </c>
      <c r="C38" s="18">
        <f>(2516.0/B38*100)</f>
        <v/>
      </c>
      <c r="D38" s="19" t="n">
        <v>537</v>
      </c>
      <c r="E38" s="18" t="n">
        <v>60.1218651</v>
      </c>
      <c r="F38" s="20" t="n">
        <v>2.40475207</v>
      </c>
      <c r="G38" s="18" t="n">
        <v>39.49232582</v>
      </c>
      <c r="H38" s="20" t="n">
        <v>2.38033059</v>
      </c>
      <c r="I38" s="18" t="s">
        <v>349</v>
      </c>
      <c r="J38" s="20" t="s">
        <v>349</v>
      </c>
      <c r="K38" s="18" t="n">
        <v>0</v>
      </c>
      <c r="L38" s="20" t="n">
        <v>0</v>
      </c>
      <c r="M38" s="18" t="n">
        <v>0</v>
      </c>
      <c r="N38" s="20" t="n">
        <v>0</v>
      </c>
      <c r="O38" s="18" t="n">
        <v>0</v>
      </c>
      <c r="P38" s="20" t="n">
        <v>0</v>
      </c>
      <c r="Q38" s="18" t="n">
        <v>0.38580907</v>
      </c>
      <c r="R38" s="20" t="n">
        <v>0.26978362</v>
      </c>
    </row>
    <row r="39" spans="1:18">
      <c r="A39" s="15" t="s">
        <v>381</v>
      </c>
      <c r="B39" s="17" t="n">
        <v>2957</v>
      </c>
      <c r="C39" s="18">
        <f>(2589.0/B39*100)</f>
        <v/>
      </c>
      <c r="D39" s="19" t="n">
        <v>368</v>
      </c>
      <c r="E39" s="18" t="n">
        <v>80.76908911</v>
      </c>
      <c r="F39" s="20" t="n">
        <v>2.31140906</v>
      </c>
      <c r="G39" s="18" t="n">
        <v>19.23091089</v>
      </c>
      <c r="H39" s="20" t="n">
        <v>2.31140906</v>
      </c>
      <c r="I39" s="18" t="s">
        <v>349</v>
      </c>
      <c r="J39" s="20" t="s">
        <v>349</v>
      </c>
      <c r="K39" s="18" t="n">
        <v>0</v>
      </c>
      <c r="L39" s="20" t="n">
        <v>0</v>
      </c>
      <c r="M39" s="18" t="n">
        <v>0</v>
      </c>
      <c r="N39" s="20" t="n">
        <v>0</v>
      </c>
      <c r="O39" s="18" t="n">
        <v>0</v>
      </c>
      <c r="P39" s="20" t="n">
        <v>0</v>
      </c>
      <c r="Q39" s="18" t="n">
        <v>0</v>
      </c>
      <c r="R39" s="20" t="n">
        <v>0</v>
      </c>
    </row>
    <row r="40" spans="1:18">
      <c r="A40" s="15" t="s">
        <v>382</v>
      </c>
      <c r="B40" s="17" t="n">
        <v>7235</v>
      </c>
      <c r="C40" s="18">
        <f>(6358.0/B40*100)</f>
        <v/>
      </c>
      <c r="D40" s="19" t="n">
        <v>877</v>
      </c>
      <c r="E40" s="18" t="n">
        <v>59.86856073</v>
      </c>
      <c r="F40" s="20" t="n">
        <v>2.54353175</v>
      </c>
      <c r="G40" s="18" t="n">
        <v>38.21263174</v>
      </c>
      <c r="H40" s="20" t="n">
        <v>2.43391329</v>
      </c>
      <c r="I40" s="18" t="s">
        <v>349</v>
      </c>
      <c r="J40" s="20" t="s">
        <v>349</v>
      </c>
      <c r="K40" s="18" t="n">
        <v>0.30843296</v>
      </c>
      <c r="L40" s="20" t="n">
        <v>0.27876103</v>
      </c>
      <c r="M40" s="18" t="n">
        <v>0</v>
      </c>
      <c r="N40" s="20" t="n">
        <v>0</v>
      </c>
      <c r="O40" s="18" t="n">
        <v>0</v>
      </c>
      <c r="P40" s="20" t="n">
        <v>0</v>
      </c>
      <c r="Q40" s="18" t="n">
        <v>1.61037458</v>
      </c>
      <c r="R40" s="20" t="n">
        <v>0.7846026</v>
      </c>
    </row>
    <row r="41" spans="1:18">
      <c r="A41" s="15" t="s">
        <v>383</v>
      </c>
      <c r="B41" s="17" t="n">
        <v>2858</v>
      </c>
      <c r="C41" s="18">
        <f>(2497.0/B41*100)</f>
        <v/>
      </c>
      <c r="D41" s="19" t="n">
        <v>361</v>
      </c>
      <c r="E41" s="18" t="n">
        <v>68.66397127</v>
      </c>
      <c r="F41" s="20" t="n">
        <v>2.47310176</v>
      </c>
      <c r="G41" s="18" t="n">
        <v>30.22706054</v>
      </c>
      <c r="H41" s="20" t="n">
        <v>2.57153665</v>
      </c>
      <c r="I41" s="18" t="s">
        <v>349</v>
      </c>
      <c r="J41" s="20" t="s">
        <v>349</v>
      </c>
      <c r="K41" s="18" t="n">
        <v>0.26517298</v>
      </c>
      <c r="L41" s="20" t="n">
        <v>0.25661694</v>
      </c>
      <c r="M41" s="18" t="n">
        <v>0</v>
      </c>
      <c r="N41" s="20" t="n">
        <v>0</v>
      </c>
      <c r="O41" s="18" t="n">
        <v>0</v>
      </c>
      <c r="P41" s="20" t="n">
        <v>0</v>
      </c>
      <c r="Q41" s="18" t="n">
        <v>0.84379521</v>
      </c>
      <c r="R41" s="20" t="n">
        <v>0.48821614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(9791.0/B46*100)</f>
        <v/>
      </c>
      <c r="D46" s="19" t="n">
        <v>1277</v>
      </c>
      <c r="E46" s="18" t="n">
        <v>87.07386406000001</v>
      </c>
      <c r="F46" s="20" t="n">
        <v>1.24777881</v>
      </c>
      <c r="G46" s="18" t="n">
        <v>10.54628365</v>
      </c>
      <c r="H46" s="20" t="n">
        <v>1.1894128</v>
      </c>
      <c r="I46" s="18" t="s">
        <v>349</v>
      </c>
      <c r="J46" s="20" t="s">
        <v>349</v>
      </c>
      <c r="K46" s="18" t="n">
        <v>0.6726401400000001</v>
      </c>
      <c r="L46" s="20" t="n">
        <v>0.29795837</v>
      </c>
      <c r="M46" s="18" t="n">
        <v>0</v>
      </c>
      <c r="N46" s="20" t="n">
        <v>0</v>
      </c>
      <c r="O46" s="18" t="n">
        <v>0</v>
      </c>
      <c r="P46" s="20" t="n">
        <v>0</v>
      </c>
      <c r="Q46" s="18" t="n">
        <v>1.70721215</v>
      </c>
      <c r="R46" s="20" t="n">
        <v>0.40397653</v>
      </c>
    </row>
    <row r="47" spans="1:18">
      <c r="A47" s="15" t="s">
        <v>389</v>
      </c>
      <c r="B47" s="17" t="n">
        <v>3105</v>
      </c>
      <c r="C47" s="18">
        <f>(2744.0/B47*100)</f>
        <v/>
      </c>
      <c r="D47" s="19" t="n">
        <v>361</v>
      </c>
      <c r="E47" s="18" t="n">
        <v>62.59890178</v>
      </c>
      <c r="F47" s="20" t="n">
        <v>3.33494428</v>
      </c>
      <c r="G47" s="18" t="n">
        <v>35.01613605</v>
      </c>
      <c r="H47" s="20" t="n">
        <v>3.22724807</v>
      </c>
      <c r="I47" s="18" t="s">
        <v>349</v>
      </c>
      <c r="J47" s="20" t="s">
        <v>349</v>
      </c>
      <c r="K47" s="18" t="n">
        <v>1.07274767</v>
      </c>
      <c r="L47" s="20" t="n">
        <v>0.56092228</v>
      </c>
      <c r="M47" s="18" t="n">
        <v>0</v>
      </c>
      <c r="N47" s="20" t="n">
        <v>0</v>
      </c>
      <c r="O47" s="18" t="n">
        <v>0</v>
      </c>
      <c r="P47" s="20" t="n">
        <v>0</v>
      </c>
      <c r="Q47" s="18" t="n">
        <v>1.3122145</v>
      </c>
      <c r="R47" s="20" t="n">
        <v>0.75859616</v>
      </c>
    </row>
    <row r="48" spans="1:18">
      <c r="A48" s="15" t="s">
        <v>390</v>
      </c>
      <c r="B48" s="17" t="n">
        <v>5159</v>
      </c>
      <c r="C48" s="18">
        <f>(4518.0/B48*100)</f>
        <v/>
      </c>
      <c r="D48" s="19" t="n">
        <v>641</v>
      </c>
      <c r="E48" s="18" t="n">
        <v>30.36672986</v>
      </c>
      <c r="F48" s="20" t="n">
        <v>2.58296579</v>
      </c>
      <c r="G48" s="18" t="n">
        <v>68.20938778999999</v>
      </c>
      <c r="H48" s="20" t="n">
        <v>2.60250004</v>
      </c>
      <c r="I48" s="18" t="s">
        <v>349</v>
      </c>
      <c r="J48" s="20" t="s">
        <v>349</v>
      </c>
      <c r="K48" s="18" t="n">
        <v>0.87880308</v>
      </c>
      <c r="L48" s="20" t="n">
        <v>0.45764995</v>
      </c>
      <c r="M48" s="18" t="n">
        <v>0</v>
      </c>
      <c r="N48" s="20" t="n">
        <v>0</v>
      </c>
      <c r="O48" s="18" t="n">
        <v>0</v>
      </c>
      <c r="P48" s="20" t="n">
        <v>0</v>
      </c>
      <c r="Q48" s="18" t="n">
        <v>0.54507927</v>
      </c>
      <c r="R48" s="20" t="n">
        <v>0.39884785</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(4941.0/B50*100)</f>
        <v/>
      </c>
      <c r="D50" s="19" t="n">
        <v>696</v>
      </c>
      <c r="E50" s="18" t="n">
        <v>91.06311817</v>
      </c>
      <c r="F50" s="20" t="n">
        <v>1.61182049</v>
      </c>
      <c r="G50" s="18" t="n">
        <v>6.90104018</v>
      </c>
      <c r="H50" s="20" t="n">
        <v>1.58148092</v>
      </c>
      <c r="I50" s="18" t="s">
        <v>349</v>
      </c>
      <c r="J50" s="20" t="s">
        <v>349</v>
      </c>
      <c r="K50" s="18" t="n">
        <v>1.33088136</v>
      </c>
      <c r="L50" s="20" t="n">
        <v>0.60747241</v>
      </c>
      <c r="M50" s="18" t="n">
        <v>0</v>
      </c>
      <c r="N50" s="20" t="n">
        <v>0</v>
      </c>
      <c r="O50" s="18" t="n">
        <v>0</v>
      </c>
      <c r="P50" s="20" t="n">
        <v>0</v>
      </c>
      <c r="Q50" s="18" t="n">
        <v>0.70496029</v>
      </c>
      <c r="R50" s="20" t="n">
        <v>0.44832451</v>
      </c>
    </row>
    <row r="51" spans="1:18">
      <c r="A51" s="15" t="s">
        <v>393</v>
      </c>
      <c r="B51" s="17" t="n">
        <v>3372</v>
      </c>
      <c r="C51" s="18">
        <f>(2642.0/B51*100)</f>
        <v/>
      </c>
      <c r="D51" s="19" t="n">
        <v>730</v>
      </c>
      <c r="E51" s="18" t="n">
        <v>85.09397559999999</v>
      </c>
      <c r="F51" s="20" t="n">
        <v>1.79816877</v>
      </c>
      <c r="G51" s="18" t="n">
        <v>13.27273428</v>
      </c>
      <c r="H51" s="20" t="n">
        <v>1.4929002</v>
      </c>
      <c r="I51" s="18" t="s">
        <v>349</v>
      </c>
      <c r="J51" s="20" t="s">
        <v>349</v>
      </c>
      <c r="K51" s="18" t="n">
        <v>0.41478458</v>
      </c>
      <c r="L51" s="20" t="n">
        <v>0.24784491</v>
      </c>
      <c r="M51" s="18" t="n">
        <v>0</v>
      </c>
      <c r="N51" s="20" t="n">
        <v>0</v>
      </c>
      <c r="O51" s="18" t="n">
        <v>0</v>
      </c>
      <c r="P51" s="20" t="n">
        <v>0</v>
      </c>
      <c r="Q51" s="18" t="n">
        <v>1.21850554</v>
      </c>
      <c r="R51" s="20" t="n">
        <v>0.48279262</v>
      </c>
    </row>
    <row r="52" spans="1:18">
      <c r="A52" s="15" t="s">
        <v>394</v>
      </c>
      <c r="B52" s="17" t="n">
        <v>2796</v>
      </c>
      <c r="C52" s="18">
        <f>(2454.0/B52*100)</f>
        <v/>
      </c>
      <c r="D52" s="19" t="n">
        <v>342</v>
      </c>
      <c r="E52" s="18" t="n">
        <v>78.85082721000001</v>
      </c>
      <c r="F52" s="20" t="n">
        <v>2.53486963</v>
      </c>
      <c r="G52" s="18" t="n">
        <v>20.87817553</v>
      </c>
      <c r="H52" s="20" t="n">
        <v>2.59632033</v>
      </c>
      <c r="I52" s="18" t="s">
        <v>349</v>
      </c>
      <c r="J52" s="20" t="s">
        <v>349</v>
      </c>
      <c r="K52" s="18" t="n">
        <v>0.27099726</v>
      </c>
      <c r="L52" s="20" t="n">
        <v>0.27350054</v>
      </c>
      <c r="M52" s="18" t="n">
        <v>0</v>
      </c>
      <c r="N52" s="20" t="n">
        <v>0</v>
      </c>
      <c r="O52" s="18" t="n">
        <v>0</v>
      </c>
      <c r="P52" s="20" t="n">
        <v>0</v>
      </c>
      <c r="Q52" s="18" t="n">
        <v>0</v>
      </c>
      <c r="R52" s="20" t="n">
        <v>0</v>
      </c>
    </row>
    <row r="53" spans="1:18">
      <c r="A53" s="15" t="s">
        <v>395</v>
      </c>
      <c r="B53" s="17" t="n">
        <v>2811</v>
      </c>
      <c r="C53" s="18">
        <f>(2468.0/B53*100)</f>
        <v/>
      </c>
      <c r="D53" s="19" t="n">
        <v>343</v>
      </c>
      <c r="E53" s="18" t="n">
        <v>64.77788653</v>
      </c>
      <c r="F53" s="20" t="n">
        <v>2.70443788</v>
      </c>
      <c r="G53" s="18" t="n">
        <v>32.62398275</v>
      </c>
      <c r="H53" s="20" t="n">
        <v>2.84733953</v>
      </c>
      <c r="I53" s="18" t="s">
        <v>349</v>
      </c>
      <c r="J53" s="20" t="s">
        <v>349</v>
      </c>
      <c r="K53" s="18" t="n">
        <v>1.11029512</v>
      </c>
      <c r="L53" s="20" t="n">
        <v>0.66541002</v>
      </c>
      <c r="M53" s="18" t="n">
        <v>0</v>
      </c>
      <c r="N53" s="20" t="n">
        <v>0</v>
      </c>
      <c r="O53" s="18" t="n">
        <v>0</v>
      </c>
      <c r="P53" s="20" t="n">
        <v>0</v>
      </c>
      <c r="Q53" s="18" t="n">
        <v>1.48783561</v>
      </c>
      <c r="R53" s="20" t="n">
        <v>0.76599963</v>
      </c>
    </row>
    <row r="54" spans="1:18">
      <c r="A54" s="15" t="s">
        <v>396</v>
      </c>
      <c r="B54" s="17" t="n">
        <v>2266</v>
      </c>
      <c r="C54" s="18">
        <f>(1925.0/B54*100)</f>
        <v/>
      </c>
      <c r="D54" s="19" t="n">
        <v>341</v>
      </c>
      <c r="E54" s="18" t="n">
        <v>89.33861055</v>
      </c>
      <c r="F54" s="20" t="n">
        <v>1.69078382</v>
      </c>
      <c r="G54" s="18" t="n">
        <v>4.82542619</v>
      </c>
      <c r="H54" s="20" t="n">
        <v>1.33848201</v>
      </c>
      <c r="I54" s="18" t="s">
        <v>349</v>
      </c>
      <c r="J54" s="20" t="s">
        <v>349</v>
      </c>
      <c r="K54" s="18" t="n">
        <v>3.15904566</v>
      </c>
      <c r="L54" s="20" t="n">
        <v>1.10440553</v>
      </c>
      <c r="M54" s="18" t="n">
        <v>0</v>
      </c>
      <c r="N54" s="20" t="n">
        <v>0</v>
      </c>
      <c r="O54" s="18" t="n">
        <v>0</v>
      </c>
      <c r="P54" s="20" t="n">
        <v>0</v>
      </c>
      <c r="Q54" s="18" t="n">
        <v>2.6769176</v>
      </c>
      <c r="R54" s="20" t="n">
        <v>0.92385004</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39.17308506</v>
      </c>
      <c r="F56" s="20" t="n">
        <v>3.28571815</v>
      </c>
      <c r="G56" s="18" t="n">
        <v>60.61832988</v>
      </c>
      <c r="H56" s="20" t="n">
        <v>3.29399223</v>
      </c>
      <c r="I56" s="18" t="s">
        <v>349</v>
      </c>
      <c r="J56" s="20" t="s">
        <v>349</v>
      </c>
      <c r="K56" s="18" t="n">
        <v>0</v>
      </c>
      <c r="L56" s="20" t="n">
        <v>0</v>
      </c>
      <c r="M56" s="18" t="n">
        <v>0</v>
      </c>
      <c r="N56" s="20" t="n">
        <v>0</v>
      </c>
      <c r="O56" s="18" t="n">
        <v>0</v>
      </c>
      <c r="P56" s="20" t="n">
        <v>0</v>
      </c>
      <c r="Q56" s="18" t="n">
        <v>0.20858506</v>
      </c>
      <c r="R56" s="20" t="n">
        <v>0.20904584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(2904.0/B61*100)</f>
        <v/>
      </c>
      <c r="D61" s="19" t="n">
        <v>420</v>
      </c>
      <c r="E61" s="18" t="n">
        <v>67.20960236000001</v>
      </c>
      <c r="F61" s="20" t="n">
        <v>2.64961878</v>
      </c>
      <c r="G61" s="18" t="n">
        <v>32.79039764</v>
      </c>
      <c r="H61" s="20" t="n">
        <v>2.64961878</v>
      </c>
      <c r="I61" s="18" t="s">
        <v>349</v>
      </c>
      <c r="J61" s="20" t="s">
        <v>349</v>
      </c>
      <c r="K61" s="18" t="n">
        <v>0</v>
      </c>
      <c r="L61" s="20" t="n">
        <v>0</v>
      </c>
      <c r="M61" s="18" t="n">
        <v>0</v>
      </c>
      <c r="N61" s="20" t="n">
        <v>0</v>
      </c>
      <c r="O61" s="18" t="n">
        <v>0</v>
      </c>
      <c r="P61" s="20" t="n">
        <v>0</v>
      </c>
      <c r="Q61" s="18" t="n">
        <v>0</v>
      </c>
      <c r="R61" s="20" t="n">
        <v>0</v>
      </c>
    </row>
    <row r="62" spans="1:18">
      <c r="A62" s="15" t="s">
        <v>404</v>
      </c>
      <c r="B62" s="17" t="n">
        <v>2246</v>
      </c>
      <c r="C62" s="18">
        <f>(1947.0/B62*100)</f>
        <v/>
      </c>
      <c r="D62" s="19" t="n">
        <v>299</v>
      </c>
      <c r="E62" s="18" t="n">
        <v>32.4686976</v>
      </c>
      <c r="F62" s="20" t="n">
        <v>2.47183847</v>
      </c>
      <c r="G62" s="18" t="n">
        <v>67.5313024</v>
      </c>
      <c r="H62" s="20" t="n">
        <v>2.47183847</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(2540.0/B66*100)</f>
        <v/>
      </c>
      <c r="D66" s="19" t="n">
        <v>354</v>
      </c>
      <c r="E66" s="18" t="n">
        <v>75.79926524</v>
      </c>
      <c r="F66" s="20" t="n">
        <v>2.29295928</v>
      </c>
      <c r="G66" s="18" t="n">
        <v>21.63252388</v>
      </c>
      <c r="H66" s="20" t="n">
        <v>2.23532457</v>
      </c>
      <c r="I66" s="18" t="s">
        <v>349</v>
      </c>
      <c r="J66" s="20" t="s">
        <v>349</v>
      </c>
      <c r="K66" s="18" t="n">
        <v>0.56881912</v>
      </c>
      <c r="L66" s="20" t="n">
        <v>0.40561721</v>
      </c>
      <c r="M66" s="18" t="n">
        <v>0</v>
      </c>
      <c r="N66" s="20" t="n">
        <v>0</v>
      </c>
      <c r="O66" s="18" t="n">
        <v>0</v>
      </c>
      <c r="P66" s="20" t="n">
        <v>0</v>
      </c>
      <c r="Q66" s="18" t="n">
        <v>1.99939176</v>
      </c>
      <c r="R66" s="20" t="n">
        <v>0.7179096700000001</v>
      </c>
    </row>
    <row r="67" spans="1:18">
      <c r="A67" s="15" t="s">
        <v>409</v>
      </c>
      <c r="B67" s="17" t="n">
        <v>3511</v>
      </c>
      <c r="C67" s="18">
        <f>(3100.0/B67*100)</f>
        <v/>
      </c>
      <c r="D67" s="19" t="n">
        <v>411</v>
      </c>
      <c r="E67" s="18" t="n">
        <v>87.73738885</v>
      </c>
      <c r="F67" s="20" t="n">
        <v>1.83571362</v>
      </c>
      <c r="G67" s="18" t="n">
        <v>11.01502115</v>
      </c>
      <c r="H67" s="20" t="n">
        <v>1.73192228</v>
      </c>
      <c r="I67" s="18" t="s">
        <v>349</v>
      </c>
      <c r="J67" s="20" t="s">
        <v>349</v>
      </c>
      <c r="K67" s="18" t="n">
        <v>0</v>
      </c>
      <c r="L67" s="20" t="n">
        <v>0</v>
      </c>
      <c r="M67" s="18" t="n">
        <v>0</v>
      </c>
      <c r="N67" s="20" t="n">
        <v>0</v>
      </c>
      <c r="O67" s="18" t="n">
        <v>0</v>
      </c>
      <c r="P67" s="20" t="n">
        <v>0</v>
      </c>
      <c r="Q67" s="18" t="n">
        <v>1.24758999</v>
      </c>
      <c r="R67" s="20" t="n">
        <v>0.5473182</v>
      </c>
    </row>
    <row r="68" spans="1:18">
      <c r="A68" s="15" t="s">
        <v>410</v>
      </c>
      <c r="B68" s="17" t="n">
        <v>6049</v>
      </c>
      <c r="C68" s="18">
        <f>(5048.0/B68*100)</f>
        <v/>
      </c>
      <c r="D68" s="19" t="n">
        <v>1001</v>
      </c>
      <c r="E68" s="18" t="n">
        <v>70.71456033</v>
      </c>
      <c r="F68" s="20" t="n">
        <v>1.47082057</v>
      </c>
      <c r="G68" s="18" t="n">
        <v>26.02623357</v>
      </c>
      <c r="H68" s="20" t="n">
        <v>1.40040318</v>
      </c>
      <c r="I68" s="18" t="s">
        <v>349</v>
      </c>
      <c r="J68" s="20" t="s">
        <v>349</v>
      </c>
      <c r="K68" s="18" t="n">
        <v>1.90721727</v>
      </c>
      <c r="L68" s="20" t="n">
        <v>0.45013327</v>
      </c>
      <c r="M68" s="18" t="n">
        <v>0</v>
      </c>
      <c r="N68" s="20" t="n">
        <v>0</v>
      </c>
      <c r="O68" s="18" t="n">
        <v>0</v>
      </c>
      <c r="P68" s="20" t="n">
        <v>0</v>
      </c>
      <c r="Q68" s="18" t="n">
        <v>1.35198882</v>
      </c>
      <c r="R68" s="20" t="n">
        <v>0.38558116</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(2540.0/B70*100)</f>
        <v/>
      </c>
      <c r="D70" s="19" t="n">
        <v>389</v>
      </c>
      <c r="E70" s="18" t="n">
        <v>48.982255</v>
      </c>
      <c r="F70" s="20" t="n">
        <v>3.80214289</v>
      </c>
      <c r="G70" s="18" t="n">
        <v>50.77489676</v>
      </c>
      <c r="H70" s="20" t="n">
        <v>3.81270915</v>
      </c>
      <c r="I70" s="18" t="s">
        <v>349</v>
      </c>
      <c r="J70" s="20" t="s">
        <v>349</v>
      </c>
      <c r="K70" s="18" t="n">
        <v>0</v>
      </c>
      <c r="L70" s="20" t="n">
        <v>0</v>
      </c>
      <c r="M70" s="18" t="n">
        <v>0</v>
      </c>
      <c r="N70" s="20" t="n">
        <v>0</v>
      </c>
      <c r="O70" s="18" t="n">
        <v>0</v>
      </c>
      <c r="P70" s="20" t="n">
        <v>0</v>
      </c>
      <c r="Q70" s="18" t="n">
        <v>0.24284824</v>
      </c>
      <c r="R70" s="20" t="n">
        <v>0.25294069</v>
      </c>
    </row>
    <row r="71" spans="1:18">
      <c r="A71" s="15" t="s">
        <v>413</v>
      </c>
      <c r="B71" s="17" t="n">
        <v>3142</v>
      </c>
      <c r="C71" s="18">
        <f>(2754.0/B71*100)</f>
        <v/>
      </c>
      <c r="D71" s="19" t="n">
        <v>388</v>
      </c>
      <c r="E71" s="18" t="n">
        <v>32.0423566</v>
      </c>
      <c r="F71" s="20" t="n">
        <v>2.68717196</v>
      </c>
      <c r="G71" s="18" t="n">
        <v>67.48874819</v>
      </c>
      <c r="H71" s="20" t="n">
        <v>2.78582278</v>
      </c>
      <c r="I71" s="18" t="s">
        <v>349</v>
      </c>
      <c r="J71" s="20" t="s">
        <v>349</v>
      </c>
      <c r="K71" s="18" t="n">
        <v>0.15207417</v>
      </c>
      <c r="L71" s="20" t="n">
        <v>0.15462322</v>
      </c>
      <c r="M71" s="18" t="n">
        <v>0</v>
      </c>
      <c r="N71" s="20" t="n">
        <v>0</v>
      </c>
      <c r="O71" s="18" t="n">
        <v>0</v>
      </c>
      <c r="P71" s="20" t="n">
        <v>0</v>
      </c>
      <c r="Q71" s="18" t="n">
        <v>0.31682104</v>
      </c>
      <c r="R71" s="20" t="n">
        <v>0.31624539</v>
      </c>
    </row>
    <row r="72" spans="1:18">
      <c r="A72" s="15" t="s">
        <v>414</v>
      </c>
      <c r="B72" s="17" t="n">
        <v>3889</v>
      </c>
      <c r="C72" s="18">
        <f>(3421.0/B72*100)</f>
        <v/>
      </c>
      <c r="D72" s="19" t="n">
        <v>468</v>
      </c>
      <c r="E72" s="18" t="n">
        <v>35.26395364</v>
      </c>
      <c r="F72" s="20" t="n">
        <v>2.47088087</v>
      </c>
      <c r="G72" s="18" t="n">
        <v>64.6008901</v>
      </c>
      <c r="H72" s="20" t="n">
        <v>2.47214815</v>
      </c>
      <c r="I72" s="18" t="s">
        <v>349</v>
      </c>
      <c r="J72" s="20" t="s">
        <v>349</v>
      </c>
      <c r="K72" s="18" t="n">
        <v>0</v>
      </c>
      <c r="L72" s="20" t="n">
        <v>0</v>
      </c>
      <c r="M72" s="18" t="n">
        <v>0</v>
      </c>
      <c r="N72" s="20" t="n">
        <v>0</v>
      </c>
      <c r="O72" s="18" t="n">
        <v>0</v>
      </c>
      <c r="P72" s="20" t="n">
        <v>0</v>
      </c>
      <c r="Q72" s="18" t="n">
        <v>0.13515625</v>
      </c>
      <c r="R72" s="20" t="n">
        <v>0.13482967</v>
      </c>
    </row>
    <row r="73" spans="1:18">
      <c r="A73" s="15" t="s">
        <v>415</v>
      </c>
      <c r="B73" s="17" t="n">
        <v>3597</v>
      </c>
      <c r="C73" s="18">
        <f>(3169.0/B73*100)</f>
        <v/>
      </c>
      <c r="D73" s="19" t="n">
        <v>428</v>
      </c>
      <c r="E73" s="18" t="n">
        <v>81.42077444</v>
      </c>
      <c r="F73" s="20" t="n">
        <v>2.1993066</v>
      </c>
      <c r="G73" s="18" t="n">
        <v>17.84189343</v>
      </c>
      <c r="H73" s="20" t="n">
        <v>2.15288294</v>
      </c>
      <c r="I73" s="18" t="s">
        <v>349</v>
      </c>
      <c r="J73" s="20" t="s">
        <v>349</v>
      </c>
      <c r="K73" s="18" t="n">
        <v>0</v>
      </c>
      <c r="L73" s="20" t="n">
        <v>0</v>
      </c>
      <c r="M73" s="18" t="n">
        <v>0</v>
      </c>
      <c r="N73" s="20" t="n">
        <v>0</v>
      </c>
      <c r="O73" s="18" t="n">
        <v>0</v>
      </c>
      <c r="P73" s="20" t="n">
        <v>0</v>
      </c>
      <c r="Q73" s="18" t="n">
        <v>0.73733212</v>
      </c>
      <c r="R73" s="20" t="n">
        <v>0.46461902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(2134.0/B75*100)</f>
        <v/>
      </c>
      <c r="D75" s="19" t="n">
        <v>272</v>
      </c>
      <c r="E75" s="18" t="n">
        <v>69.65503954</v>
      </c>
      <c r="F75" s="20" t="n">
        <v>2.6618931</v>
      </c>
      <c r="G75" s="18" t="n">
        <v>28.04775799</v>
      </c>
      <c r="H75" s="20" t="n">
        <v>2.48909738</v>
      </c>
      <c r="I75" s="18" t="s">
        <v>349</v>
      </c>
      <c r="J75" s="20" t="s">
        <v>349</v>
      </c>
      <c r="K75" s="18" t="n">
        <v>1.41226073</v>
      </c>
      <c r="L75" s="20" t="n">
        <v>0.66012917</v>
      </c>
      <c r="M75" s="18" t="n">
        <v>0</v>
      </c>
      <c r="N75" s="20" t="n">
        <v>0</v>
      </c>
      <c r="O75" s="18" t="n">
        <v>0</v>
      </c>
      <c r="P75" s="20" t="n">
        <v>0</v>
      </c>
      <c r="Q75" s="18" t="n">
        <v>0.88494174</v>
      </c>
      <c r="R75" s="20" t="n">
        <v>0.51324078</v>
      </c>
    </row>
    <row r="76" spans="1:18">
      <c r="A76" s="15" t="s">
        <v>418</v>
      </c>
      <c r="B76" s="17" t="n">
        <v>7052</v>
      </c>
      <c r="C76" s="18">
        <f>(6183.0/B76*100)</f>
        <v/>
      </c>
      <c r="D76" s="19" t="n">
        <v>869</v>
      </c>
      <c r="E76" s="18" t="n">
        <v>68.35431782000001</v>
      </c>
      <c r="F76" s="20" t="n">
        <v>1.84122255</v>
      </c>
      <c r="G76" s="18" t="n">
        <v>30.08938544</v>
      </c>
      <c r="H76" s="20" t="n">
        <v>1.82054686</v>
      </c>
      <c r="I76" s="18" t="s">
        <v>349</v>
      </c>
      <c r="J76" s="20" t="s">
        <v>349</v>
      </c>
      <c r="K76" s="18" t="n">
        <v>0.33840413</v>
      </c>
      <c r="L76" s="20" t="n">
        <v>0.2003128</v>
      </c>
      <c r="M76" s="18" t="n">
        <v>0</v>
      </c>
      <c r="N76" s="20" t="n">
        <v>0</v>
      </c>
      <c r="O76" s="18" t="n">
        <v>0</v>
      </c>
      <c r="P76" s="20" t="n">
        <v>0</v>
      </c>
      <c r="Q76" s="18" t="n">
        <v>1.21789262</v>
      </c>
      <c r="R76" s="20" t="n">
        <v>0.47789982</v>
      </c>
    </row>
    <row r="77" spans="1:18">
      <c r="A77" s="15" t="s">
        <v>419</v>
      </c>
      <c r="B77" s="17" t="n">
        <v>2908</v>
      </c>
      <c r="C77" s="18">
        <f>(2543.0/B77*100)</f>
        <v/>
      </c>
      <c r="D77" s="19" t="n">
        <v>365</v>
      </c>
      <c r="E77" s="18" t="n">
        <v>78.5183899</v>
      </c>
      <c r="F77" s="20" t="n">
        <v>2.30127486</v>
      </c>
      <c r="G77" s="18" t="n">
        <v>16.06628289</v>
      </c>
      <c r="H77" s="20" t="n">
        <v>2.16148729</v>
      </c>
      <c r="I77" s="18" t="s">
        <v>349</v>
      </c>
      <c r="J77" s="20" t="s">
        <v>349</v>
      </c>
      <c r="K77" s="18" t="n">
        <v>1.71504423</v>
      </c>
      <c r="L77" s="20" t="n">
        <v>0.87751447</v>
      </c>
      <c r="M77" s="18" t="n">
        <v>0</v>
      </c>
      <c r="N77" s="20" t="n">
        <v>0</v>
      </c>
      <c r="O77" s="18" t="n">
        <v>0</v>
      </c>
      <c r="P77" s="20" t="n">
        <v>0</v>
      </c>
      <c r="Q77" s="18" t="n">
        <v>3.70028297</v>
      </c>
      <c r="R77" s="20" t="n">
        <v>1.02158702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(3655.0/B81*100)</f>
        <v/>
      </c>
      <c r="D81" s="19" t="n">
        <v>508</v>
      </c>
      <c r="E81" s="18" t="n">
        <v>76.30328217</v>
      </c>
      <c r="F81" s="20" t="n">
        <v>2.24755891</v>
      </c>
      <c r="G81" s="18" t="n">
        <v>22.84217086</v>
      </c>
      <c r="H81" s="20" t="n">
        <v>2.32263233</v>
      </c>
      <c r="I81" s="18" t="s">
        <v>349</v>
      </c>
      <c r="J81" s="20" t="s">
        <v>349</v>
      </c>
      <c r="K81" s="18" t="n">
        <v>0</v>
      </c>
      <c r="L81" s="20" t="n">
        <v>0</v>
      </c>
      <c r="M81" s="18" t="n">
        <v>0</v>
      </c>
      <c r="N81" s="20" t="n">
        <v>0</v>
      </c>
      <c r="O81" s="18" t="n">
        <v>0</v>
      </c>
      <c r="P81" s="20" t="n">
        <v>0</v>
      </c>
      <c r="Q81" s="18" t="n">
        <v>0.85454697</v>
      </c>
      <c r="R81" s="20" t="n">
        <v>0.45452661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501</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7367</v>
      </c>
      <c r="C7" s="18">
        <f>(6426.0/B7*100)</f>
        <v/>
      </c>
      <c r="D7" s="19" t="n">
        <v>941</v>
      </c>
      <c r="E7" s="18" t="n">
        <v>41.78190156</v>
      </c>
      <c r="F7" s="20" t="n">
        <v>2.15294613</v>
      </c>
      <c r="G7" s="18" t="n">
        <v>1.58432049</v>
      </c>
      <c r="H7" s="20" t="n">
        <v>0.44602871</v>
      </c>
      <c r="I7" s="18" t="n">
        <v>29.72067589</v>
      </c>
      <c r="J7" s="20" t="n">
        <v>1.73693318</v>
      </c>
      <c r="K7" s="18" t="s">
        <v>349</v>
      </c>
      <c r="L7" s="20" t="s">
        <v>349</v>
      </c>
      <c r="M7" s="18" t="n">
        <v>0.61605028</v>
      </c>
      <c r="N7" s="20" t="n">
        <v>0.32080793</v>
      </c>
      <c r="O7" s="18" t="n">
        <v>0.40513071</v>
      </c>
      <c r="P7" s="20" t="n">
        <v>0.25486814</v>
      </c>
      <c r="Q7" s="18" t="n">
        <v>0</v>
      </c>
      <c r="R7" s="20" t="n">
        <v>0</v>
      </c>
      <c r="S7" s="18" t="n">
        <v>25.89192108</v>
      </c>
      <c r="T7" s="20" t="n">
        <v>1.9410571</v>
      </c>
    </row>
    <row r="8" spans="1:20">
      <c r="A8" s="15" t="s">
        <v>350</v>
      </c>
      <c r="B8" s="17" t="n">
        <v>3564</v>
      </c>
      <c r="C8" s="18">
        <f>(3117.0/B8*100)</f>
        <v/>
      </c>
      <c r="D8" s="19" t="n">
        <v>447</v>
      </c>
      <c r="E8" s="18" t="n">
        <v>39.93963527</v>
      </c>
      <c r="F8" s="20" t="n">
        <v>3.29900333</v>
      </c>
      <c r="G8" s="18" t="n">
        <v>4.64748664</v>
      </c>
      <c r="H8" s="20" t="n">
        <v>0.97828631</v>
      </c>
      <c r="I8" s="18" t="n">
        <v>23.08602261</v>
      </c>
      <c r="J8" s="20" t="n">
        <v>2.20747487</v>
      </c>
      <c r="K8" s="18" t="s">
        <v>349</v>
      </c>
      <c r="L8" s="20" t="s">
        <v>349</v>
      </c>
      <c r="M8" s="18" t="n">
        <v>1.34974325</v>
      </c>
      <c r="N8" s="20" t="n">
        <v>1.14610918</v>
      </c>
      <c r="O8" s="18" t="n">
        <v>0</v>
      </c>
      <c r="P8" s="20" t="n">
        <v>0</v>
      </c>
      <c r="Q8" s="18" t="n">
        <v>0</v>
      </c>
      <c r="R8" s="20" t="n">
        <v>0</v>
      </c>
      <c r="S8" s="18" t="n">
        <v>30.97711223</v>
      </c>
      <c r="T8" s="20" t="n">
        <v>2.67084901</v>
      </c>
    </row>
    <row r="9" spans="1:20">
      <c r="A9" s="15" t="s">
        <v>351</v>
      </c>
      <c r="B9" s="17" t="n">
        <v>4899</v>
      </c>
      <c r="C9" s="18">
        <f>(4167.0/B9*100)</f>
        <v/>
      </c>
      <c r="D9" s="19" t="n">
        <v>732</v>
      </c>
      <c r="E9" s="18" t="n">
        <v>36.47119065</v>
      </c>
      <c r="F9" s="20" t="n">
        <v>1.83128544</v>
      </c>
      <c r="G9" s="18" t="n">
        <v>1.52247063</v>
      </c>
      <c r="H9" s="20" t="n">
        <v>0.38701699</v>
      </c>
      <c r="I9" s="18" t="n">
        <v>28.84259519</v>
      </c>
      <c r="J9" s="20" t="n">
        <v>2.1252397</v>
      </c>
      <c r="K9" s="18" t="s">
        <v>349</v>
      </c>
      <c r="L9" s="20" t="s">
        <v>349</v>
      </c>
      <c r="M9" s="18" t="n">
        <v>2.01822105</v>
      </c>
      <c r="N9" s="20" t="n">
        <v>0.71269366</v>
      </c>
      <c r="O9" s="18" t="n">
        <v>0.53520041</v>
      </c>
      <c r="P9" s="20" t="n">
        <v>0.28592783</v>
      </c>
      <c r="Q9" s="18" t="n">
        <v>0</v>
      </c>
      <c r="R9" s="20" t="n">
        <v>0</v>
      </c>
      <c r="S9" s="18" t="n">
        <v>30.61032206</v>
      </c>
      <c r="T9" s="20" t="n">
        <v>2.15483251</v>
      </c>
    </row>
    <row r="10" spans="1:20">
      <c r="A10" s="15" t="s">
        <v>352</v>
      </c>
      <c r="B10" s="17" t="n">
        <v>10036</v>
      </c>
      <c r="C10" s="18">
        <f>(8805.0/B10*100)</f>
        <v/>
      </c>
      <c r="D10" s="19" t="n">
        <v>1231</v>
      </c>
      <c r="E10" s="18" t="n">
        <v>40.48742312</v>
      </c>
      <c r="F10" s="20" t="n">
        <v>2.10649739</v>
      </c>
      <c r="G10" s="18" t="n">
        <v>1.69847183</v>
      </c>
      <c r="H10" s="20" t="n">
        <v>0.49924018</v>
      </c>
      <c r="I10" s="18" t="n">
        <v>35.45949358</v>
      </c>
      <c r="J10" s="20" t="n">
        <v>1.74826447</v>
      </c>
      <c r="K10" s="18" t="s">
        <v>349</v>
      </c>
      <c r="L10" s="20" t="s">
        <v>349</v>
      </c>
      <c r="M10" s="18" t="n">
        <v>0.30635816</v>
      </c>
      <c r="N10" s="20" t="n">
        <v>0.12742244</v>
      </c>
      <c r="O10" s="18" t="n">
        <v>0.16507024</v>
      </c>
      <c r="P10" s="20" t="n">
        <v>0.11549435</v>
      </c>
      <c r="Q10" s="18" t="n">
        <v>0</v>
      </c>
      <c r="R10" s="20" t="n">
        <v>0</v>
      </c>
      <c r="S10" s="18" t="n">
        <v>21.88318307</v>
      </c>
      <c r="T10" s="20" t="n">
        <v>1.67614851</v>
      </c>
    </row>
    <row r="11" spans="1:20">
      <c r="A11" s="15" t="s">
        <v>353</v>
      </c>
      <c r="B11" s="17" t="n">
        <v>3553</v>
      </c>
      <c r="C11" s="18">
        <f>(3136.0/B11*100)</f>
        <v/>
      </c>
      <c r="D11" s="19" t="n">
        <v>417</v>
      </c>
      <c r="E11" s="18" t="n">
        <v>36.1297408</v>
      </c>
      <c r="F11" s="20" t="n">
        <v>2.63473564</v>
      </c>
      <c r="G11" s="18" t="n">
        <v>1.75152014</v>
      </c>
      <c r="H11" s="20" t="n">
        <v>0.37022617</v>
      </c>
      <c r="I11" s="18" t="n">
        <v>16.44680565</v>
      </c>
      <c r="J11" s="20" t="n">
        <v>1.94273162</v>
      </c>
      <c r="K11" s="18" t="s">
        <v>349</v>
      </c>
      <c r="L11" s="20" t="s">
        <v>349</v>
      </c>
      <c r="M11" s="18" t="n">
        <v>0.19227225</v>
      </c>
      <c r="N11" s="20" t="n">
        <v>0.20241178</v>
      </c>
      <c r="O11" s="18" t="n">
        <v>0</v>
      </c>
      <c r="P11" s="20" t="n">
        <v>0</v>
      </c>
      <c r="Q11" s="18" t="n">
        <v>0</v>
      </c>
      <c r="R11" s="20" t="n">
        <v>0</v>
      </c>
      <c r="S11" s="18" t="n">
        <v>45.47966115</v>
      </c>
      <c r="T11" s="20" t="n">
        <v>2.57086177</v>
      </c>
    </row>
    <row r="12" spans="1:20">
      <c r="A12" s="15" t="s">
        <v>354</v>
      </c>
      <c r="B12" s="17" t="n">
        <v>3472</v>
      </c>
      <c r="C12" s="18">
        <f>(2998.0/B12*100)</f>
        <v/>
      </c>
      <c r="D12" s="19" t="n">
        <v>474</v>
      </c>
      <c r="E12" s="18" t="n">
        <v>43.24554199</v>
      </c>
      <c r="F12" s="20" t="n">
        <v>2.64767073</v>
      </c>
      <c r="G12" s="18" t="n">
        <v>1.10653872</v>
      </c>
      <c r="H12" s="20" t="n">
        <v>0.61891217</v>
      </c>
      <c r="I12" s="18" t="n">
        <v>24.16154792</v>
      </c>
      <c r="J12" s="20" t="n">
        <v>2.57687239</v>
      </c>
      <c r="K12" s="18" t="s">
        <v>349</v>
      </c>
      <c r="L12" s="20" t="s">
        <v>349</v>
      </c>
      <c r="M12" s="18" t="n">
        <v>0.38787158</v>
      </c>
      <c r="N12" s="20" t="n">
        <v>0.33886352</v>
      </c>
      <c r="O12" s="18" t="n">
        <v>0.25432479</v>
      </c>
      <c r="P12" s="20" t="n">
        <v>0.19377857</v>
      </c>
      <c r="Q12" s="18" t="n">
        <v>0</v>
      </c>
      <c r="R12" s="20" t="n">
        <v>0</v>
      </c>
      <c r="S12" s="18" t="n">
        <v>30.844175</v>
      </c>
      <c r="T12" s="20" t="n">
        <v>2.39169923</v>
      </c>
    </row>
    <row r="13" spans="1:20">
      <c r="A13" s="15" t="s">
        <v>355</v>
      </c>
      <c r="B13" s="17" t="n">
        <v>3559</v>
      </c>
      <c r="C13" s="18">
        <f>(2965.0/B13*100)</f>
        <v/>
      </c>
      <c r="D13" s="19" t="n">
        <v>594</v>
      </c>
      <c r="E13" s="18" t="n">
        <v>43.16152177</v>
      </c>
      <c r="F13" s="20" t="n">
        <v>2.59481998</v>
      </c>
      <c r="G13" s="18" t="n">
        <v>1.11755558</v>
      </c>
      <c r="H13" s="20" t="n">
        <v>0.6253281000000001</v>
      </c>
      <c r="I13" s="18" t="n">
        <v>33.45737204</v>
      </c>
      <c r="J13" s="20" t="n">
        <v>2.25196693</v>
      </c>
      <c r="K13" s="18" t="s">
        <v>349</v>
      </c>
      <c r="L13" s="20" t="s">
        <v>349</v>
      </c>
      <c r="M13" s="18" t="n">
        <v>0.55971612</v>
      </c>
      <c r="N13" s="20" t="n">
        <v>0.31199296</v>
      </c>
      <c r="O13" s="18" t="n">
        <v>0.16125189</v>
      </c>
      <c r="P13" s="20" t="n">
        <v>0.16358547</v>
      </c>
      <c r="Q13" s="18" t="n">
        <v>0</v>
      </c>
      <c r="R13" s="20" t="n">
        <v>0</v>
      </c>
      <c r="S13" s="18" t="n">
        <v>21.5425826</v>
      </c>
      <c r="T13" s="20" t="n">
        <v>2.22512429</v>
      </c>
    </row>
    <row r="14" spans="1:20">
      <c r="A14" s="15" t="s">
        <v>356</v>
      </c>
      <c r="B14" s="17" t="n">
        <v>2799</v>
      </c>
      <c r="C14" s="18">
        <f>(2450.0/B14*100)</f>
        <v/>
      </c>
      <c r="D14" s="19" t="n">
        <v>349</v>
      </c>
      <c r="E14" s="18" t="n">
        <v>33.60285957</v>
      </c>
      <c r="F14" s="20" t="n">
        <v>2.80359708</v>
      </c>
      <c r="G14" s="18" t="n">
        <v>2.03557625</v>
      </c>
      <c r="H14" s="20" t="n">
        <v>0.99872555</v>
      </c>
      <c r="I14" s="18" t="n">
        <v>38.7393083</v>
      </c>
      <c r="J14" s="20" t="n">
        <v>2.77961012</v>
      </c>
      <c r="K14" s="18" t="s">
        <v>349</v>
      </c>
      <c r="L14" s="20" t="s">
        <v>349</v>
      </c>
      <c r="M14" s="18" t="n">
        <v>0</v>
      </c>
      <c r="N14" s="20" t="n">
        <v>0</v>
      </c>
      <c r="O14" s="18" t="n">
        <v>0</v>
      </c>
      <c r="P14" s="20" t="n">
        <v>0</v>
      </c>
      <c r="Q14" s="18" t="n">
        <v>0</v>
      </c>
      <c r="R14" s="20" t="n">
        <v>0</v>
      </c>
      <c r="S14" s="18" t="n">
        <v>25.62225588</v>
      </c>
      <c r="T14" s="20" t="n">
        <v>2.47015573</v>
      </c>
    </row>
    <row r="15" spans="1:20">
      <c r="A15" s="15" t="s">
        <v>357</v>
      </c>
      <c r="B15" s="17" t="n">
        <v>3019</v>
      </c>
      <c r="C15" s="18">
        <f>(2628.0/B15*100)</f>
        <v/>
      </c>
      <c r="D15" s="19" t="n">
        <v>391</v>
      </c>
      <c r="E15" s="18" t="n">
        <v>42.16035533</v>
      </c>
      <c r="F15" s="20" t="n">
        <v>2.75012721</v>
      </c>
      <c r="G15" s="18" t="n">
        <v>1.68564384</v>
      </c>
      <c r="H15" s="20" t="n">
        <v>0.6285636100000001</v>
      </c>
      <c r="I15" s="18" t="n">
        <v>24.33550136</v>
      </c>
      <c r="J15" s="20" t="n">
        <v>2.32068556</v>
      </c>
      <c r="K15" s="18" t="s">
        <v>349</v>
      </c>
      <c r="L15" s="20" t="s">
        <v>349</v>
      </c>
      <c r="M15" s="18" t="n">
        <v>1.93435383</v>
      </c>
      <c r="N15" s="20" t="n">
        <v>0.98984198</v>
      </c>
      <c r="O15" s="18" t="n">
        <v>0</v>
      </c>
      <c r="P15" s="20" t="n">
        <v>0</v>
      </c>
      <c r="Q15" s="18" t="n">
        <v>0</v>
      </c>
      <c r="R15" s="20" t="n">
        <v>0</v>
      </c>
      <c r="S15" s="18" t="n">
        <v>29.88414564</v>
      </c>
      <c r="T15" s="20" t="n">
        <v>3.00266677</v>
      </c>
    </row>
    <row r="16" spans="1:20">
      <c r="A16" s="15" t="s">
        <v>358</v>
      </c>
      <c r="B16" s="17" t="n">
        <v>2997</v>
      </c>
      <c r="C16" s="18">
        <f>(2643.0/B16*100)</f>
        <v/>
      </c>
      <c r="D16" s="19" t="n">
        <v>354</v>
      </c>
      <c r="E16" s="18" t="n">
        <v>24.91877045</v>
      </c>
      <c r="F16" s="20" t="n">
        <v>2.15351432</v>
      </c>
      <c r="G16" s="18" t="n">
        <v>1.84428903</v>
      </c>
      <c r="H16" s="20" t="n">
        <v>0.63026954</v>
      </c>
      <c r="I16" s="18" t="n">
        <v>34.41467566</v>
      </c>
      <c r="J16" s="20" t="n">
        <v>2.41620746</v>
      </c>
      <c r="K16" s="18" t="s">
        <v>349</v>
      </c>
      <c r="L16" s="20" t="s">
        <v>349</v>
      </c>
      <c r="M16" s="18" t="n">
        <v>1.64298081</v>
      </c>
      <c r="N16" s="20" t="n">
        <v>0.63613671</v>
      </c>
      <c r="O16" s="18" t="n">
        <v>0</v>
      </c>
      <c r="P16" s="20" t="n">
        <v>0</v>
      </c>
      <c r="Q16" s="18" t="n">
        <v>0</v>
      </c>
      <c r="R16" s="20" t="n">
        <v>0</v>
      </c>
      <c r="S16" s="18" t="n">
        <v>37.17928405</v>
      </c>
      <c r="T16" s="20" t="n">
        <v>2.76891161</v>
      </c>
    </row>
    <row r="17" spans="1:20">
      <c r="A17" s="15" t="s">
        <v>359</v>
      </c>
      <c r="B17" s="17" t="n">
        <v>3307</v>
      </c>
      <c r="C17" s="18">
        <f>(2841.0/B17*100)</f>
        <v/>
      </c>
      <c r="D17" s="19" t="n">
        <v>466</v>
      </c>
      <c r="E17" s="18" t="n">
        <v>34.92250155</v>
      </c>
      <c r="F17" s="20" t="n">
        <v>2.51094609</v>
      </c>
      <c r="G17" s="18" t="n">
        <v>2.14928358</v>
      </c>
      <c r="H17" s="20" t="n">
        <v>0.80255447</v>
      </c>
      <c r="I17" s="18" t="n">
        <v>26.21208299</v>
      </c>
      <c r="J17" s="20" t="n">
        <v>2.07388584</v>
      </c>
      <c r="K17" s="18" t="s">
        <v>349</v>
      </c>
      <c r="L17" s="20" t="s">
        <v>349</v>
      </c>
      <c r="M17" s="18" t="n">
        <v>5.58690701</v>
      </c>
      <c r="N17" s="20" t="n">
        <v>1.73575923</v>
      </c>
      <c r="O17" s="18" t="n">
        <v>0</v>
      </c>
      <c r="P17" s="20" t="n">
        <v>0</v>
      </c>
      <c r="Q17" s="18" t="n">
        <v>0</v>
      </c>
      <c r="R17" s="20" t="n">
        <v>0</v>
      </c>
      <c r="S17" s="18" t="n">
        <v>31.12922488</v>
      </c>
      <c r="T17" s="20" t="n">
        <v>2.08464351</v>
      </c>
    </row>
    <row r="18" spans="1:20">
      <c r="A18" s="15" t="s">
        <v>360</v>
      </c>
      <c r="B18" s="17" t="n">
        <v>2826</v>
      </c>
      <c r="C18" s="18">
        <f>(2479.0/B18*100)</f>
        <v/>
      </c>
      <c r="D18" s="19" t="n">
        <v>347</v>
      </c>
      <c r="E18" s="18" t="n">
        <v>36.00796719</v>
      </c>
      <c r="F18" s="20" t="n">
        <v>2.69466255</v>
      </c>
      <c r="G18" s="18" t="n">
        <v>1.80195328</v>
      </c>
      <c r="H18" s="20" t="n">
        <v>0.68665667</v>
      </c>
      <c r="I18" s="18" t="n">
        <v>18.16995332</v>
      </c>
      <c r="J18" s="20" t="n">
        <v>2.69543851</v>
      </c>
      <c r="K18" s="18" t="s">
        <v>349</v>
      </c>
      <c r="L18" s="20" t="s">
        <v>349</v>
      </c>
      <c r="M18" s="18" t="n">
        <v>1.67737399</v>
      </c>
      <c r="N18" s="20" t="n">
        <v>0.85699775</v>
      </c>
      <c r="O18" s="18" t="n">
        <v>0</v>
      </c>
      <c r="P18" s="20" t="n">
        <v>0</v>
      </c>
      <c r="Q18" s="18" t="n">
        <v>0</v>
      </c>
      <c r="R18" s="20" t="n">
        <v>0</v>
      </c>
      <c r="S18" s="18" t="n">
        <v>42.34275221</v>
      </c>
      <c r="T18" s="20" t="n">
        <v>3.06380251</v>
      </c>
    </row>
    <row r="19" spans="1:20">
      <c r="A19" s="15" t="s">
        <v>361</v>
      </c>
      <c r="B19" s="17" t="n">
        <v>2808</v>
      </c>
      <c r="C19" s="18">
        <f>(2454.0/B19*100)</f>
        <v/>
      </c>
      <c r="D19" s="19" t="n">
        <v>354</v>
      </c>
      <c r="E19" s="18" t="n">
        <v>48.72034198</v>
      </c>
      <c r="F19" s="20" t="n">
        <v>2.68832495</v>
      </c>
      <c r="G19" s="18" t="n">
        <v>0.28011321</v>
      </c>
      <c r="H19" s="20" t="n">
        <v>0.23999039</v>
      </c>
      <c r="I19" s="18" t="n">
        <v>20.99862351</v>
      </c>
      <c r="J19" s="20" t="n">
        <v>2.19418017</v>
      </c>
      <c r="K19" s="18" t="s">
        <v>349</v>
      </c>
      <c r="L19" s="20" t="s">
        <v>349</v>
      </c>
      <c r="M19" s="18" t="n">
        <v>0</v>
      </c>
      <c r="N19" s="20" t="n">
        <v>0</v>
      </c>
      <c r="O19" s="18" t="n">
        <v>0</v>
      </c>
      <c r="P19" s="20" t="n">
        <v>0</v>
      </c>
      <c r="Q19" s="18" t="n">
        <v>0</v>
      </c>
      <c r="R19" s="20" t="n">
        <v>0</v>
      </c>
      <c r="S19" s="18" t="n">
        <v>30.0009213</v>
      </c>
      <c r="T19" s="20" t="n">
        <v>2.37272228</v>
      </c>
    </row>
    <row r="20" spans="1:20">
      <c r="A20" s="15" t="s">
        <v>362</v>
      </c>
      <c r="B20" s="17" t="n">
        <v>1630</v>
      </c>
      <c r="C20" s="18">
        <f>(1433.0/B20*100)</f>
        <v/>
      </c>
      <c r="D20" s="19" t="n">
        <v>197</v>
      </c>
      <c r="E20" s="18" t="n">
        <v>50.23144041</v>
      </c>
      <c r="F20" s="20" t="n">
        <v>3.90956133</v>
      </c>
      <c r="G20" s="18" t="n">
        <v>0.48962595</v>
      </c>
      <c r="H20" s="20" t="n">
        <v>0.48747327</v>
      </c>
      <c r="I20" s="18" t="n">
        <v>30.13049507</v>
      </c>
      <c r="J20" s="20" t="n">
        <v>3.50674978</v>
      </c>
      <c r="K20" s="18" t="s">
        <v>349</v>
      </c>
      <c r="L20" s="20" t="s">
        <v>349</v>
      </c>
      <c r="M20" s="18" t="n">
        <v>1.03262192</v>
      </c>
      <c r="N20" s="20" t="n">
        <v>0.67888279</v>
      </c>
      <c r="O20" s="18" t="n">
        <v>0</v>
      </c>
      <c r="P20" s="20" t="n">
        <v>0</v>
      </c>
      <c r="Q20" s="18" t="n">
        <v>0</v>
      </c>
      <c r="R20" s="20" t="n">
        <v>0</v>
      </c>
      <c r="S20" s="18" t="n">
        <v>18.11581664</v>
      </c>
      <c r="T20" s="20" t="n">
        <v>2.75991767</v>
      </c>
    </row>
    <row r="21" spans="1:20">
      <c r="A21" s="15" t="s">
        <v>363</v>
      </c>
      <c r="B21" s="17" t="n">
        <v>2908</v>
      </c>
      <c r="C21" s="18">
        <f>(2400.0/B21*100)</f>
        <v/>
      </c>
      <c r="D21" s="19" t="n">
        <v>508</v>
      </c>
      <c r="E21" s="18" t="n">
        <v>38.99322145</v>
      </c>
      <c r="F21" s="20" t="n">
        <v>1.95430574</v>
      </c>
      <c r="G21" s="18" t="n">
        <v>1.04243565</v>
      </c>
      <c r="H21" s="20" t="n">
        <v>0.36025266</v>
      </c>
      <c r="I21" s="18" t="n">
        <v>34.4584118</v>
      </c>
      <c r="J21" s="20" t="n">
        <v>2.08630192</v>
      </c>
      <c r="K21" s="18" t="s">
        <v>349</v>
      </c>
      <c r="L21" s="20" t="s">
        <v>349</v>
      </c>
      <c r="M21" s="18" t="n">
        <v>0.30322023</v>
      </c>
      <c r="N21" s="20" t="n">
        <v>0.21454015</v>
      </c>
      <c r="O21" s="18" t="n">
        <v>0</v>
      </c>
      <c r="P21" s="20" t="n">
        <v>0</v>
      </c>
      <c r="Q21" s="18" t="n">
        <v>0</v>
      </c>
      <c r="R21" s="20" t="n">
        <v>0</v>
      </c>
      <c r="S21" s="18" t="n">
        <v>25.20271087</v>
      </c>
      <c r="T21" s="20" t="n">
        <v>2.00566591</v>
      </c>
    </row>
    <row r="22" spans="1:20">
      <c r="A22" s="15" t="s">
        <v>364</v>
      </c>
      <c r="B22" s="17" t="n">
        <v>2931</v>
      </c>
      <c r="C22" s="18">
        <f>(2563.0/B22*100)</f>
        <v/>
      </c>
      <c r="D22" s="19" t="n">
        <v>368</v>
      </c>
      <c r="E22" s="18" t="n">
        <v>37.88917569</v>
      </c>
      <c r="F22" s="20" t="n">
        <v>2.92836553</v>
      </c>
      <c r="G22" s="18" t="n">
        <v>1.20444808</v>
      </c>
      <c r="H22" s="20" t="n">
        <v>0.64712814</v>
      </c>
      <c r="I22" s="18" t="n">
        <v>26.85860835</v>
      </c>
      <c r="J22" s="20" t="n">
        <v>2.75187957</v>
      </c>
      <c r="K22" s="18" t="s">
        <v>349</v>
      </c>
      <c r="L22" s="20" t="s">
        <v>349</v>
      </c>
      <c r="M22" s="18" t="n">
        <v>1.02886438</v>
      </c>
      <c r="N22" s="20" t="n">
        <v>0.62400674</v>
      </c>
      <c r="O22" s="18" t="n">
        <v>0</v>
      </c>
      <c r="P22" s="20" t="n">
        <v>0</v>
      </c>
      <c r="Q22" s="18" t="n">
        <v>0</v>
      </c>
      <c r="R22" s="20" t="n">
        <v>0</v>
      </c>
      <c r="S22" s="18" t="n">
        <v>33.0189035</v>
      </c>
      <c r="T22" s="20" t="n">
        <v>2.75213465</v>
      </c>
    </row>
    <row r="23" spans="1:20">
      <c r="A23" s="15" t="s">
        <v>365</v>
      </c>
      <c r="B23" s="17" t="n">
        <v>5791</v>
      </c>
      <c r="C23" s="18">
        <f>(5090.0/B23*100)</f>
        <v/>
      </c>
      <c r="D23" s="19" t="n">
        <v>701</v>
      </c>
      <c r="E23" s="18" t="n">
        <v>29.37386286</v>
      </c>
      <c r="F23" s="20" t="n">
        <v>2.13669249</v>
      </c>
      <c r="G23" s="18" t="n">
        <v>2.38954775</v>
      </c>
      <c r="H23" s="20" t="n">
        <v>0.8444592400000001</v>
      </c>
      <c r="I23" s="18" t="n">
        <v>21.60638413</v>
      </c>
      <c r="J23" s="20" t="n">
        <v>2.5092788</v>
      </c>
      <c r="K23" s="18" t="s">
        <v>349</v>
      </c>
      <c r="L23" s="20" t="s">
        <v>349</v>
      </c>
      <c r="M23" s="18" t="n">
        <v>0.80257871</v>
      </c>
      <c r="N23" s="20" t="n">
        <v>0.4630553</v>
      </c>
      <c r="O23" s="18" t="n">
        <v>0.16628055</v>
      </c>
      <c r="P23" s="20" t="n">
        <v>0.17797757</v>
      </c>
      <c r="Q23" s="18" t="n">
        <v>0</v>
      </c>
      <c r="R23" s="20" t="n">
        <v>0</v>
      </c>
      <c r="S23" s="18" t="n">
        <v>45.661346</v>
      </c>
      <c r="T23" s="20" t="n">
        <v>2.79216485</v>
      </c>
    </row>
    <row r="24" spans="1:20">
      <c r="A24" s="15" t="s">
        <v>366</v>
      </c>
      <c r="B24" s="17" t="n">
        <v>3338</v>
      </c>
      <c r="C24" s="18">
        <f>(2938.0/B24*100)</f>
        <v/>
      </c>
      <c r="D24" s="19" t="n">
        <v>400</v>
      </c>
      <c r="E24" s="18" t="n">
        <v>13.45608139</v>
      </c>
      <c r="F24" s="20" t="n">
        <v>1.81266972</v>
      </c>
      <c r="G24" s="18" t="n">
        <v>6.5848677</v>
      </c>
      <c r="H24" s="20" t="n">
        <v>1.4281648</v>
      </c>
      <c r="I24" s="18" t="n">
        <v>63.57973957</v>
      </c>
      <c r="J24" s="20" t="n">
        <v>2.81185066</v>
      </c>
      <c r="K24" s="18" t="s">
        <v>349</v>
      </c>
      <c r="L24" s="20" t="s">
        <v>349</v>
      </c>
      <c r="M24" s="18" t="n">
        <v>0.17720359</v>
      </c>
      <c r="N24" s="20" t="n">
        <v>0.17756785</v>
      </c>
      <c r="O24" s="18" t="n">
        <v>0</v>
      </c>
      <c r="P24" s="20" t="n">
        <v>0</v>
      </c>
      <c r="Q24" s="18" t="n">
        <v>0</v>
      </c>
      <c r="R24" s="20" t="n">
        <v>0</v>
      </c>
      <c r="S24" s="18" t="n">
        <v>16.20210776</v>
      </c>
      <c r="T24" s="20" t="n">
        <v>1.81758181</v>
      </c>
    </row>
    <row r="25" spans="1:20">
      <c r="A25" s="15" t="s">
        <v>367</v>
      </c>
      <c r="B25" s="17" t="n">
        <v>2912</v>
      </c>
      <c r="C25" s="18">
        <f>(2539.0/B25*100)</f>
        <v/>
      </c>
      <c r="D25" s="19" t="n">
        <v>373</v>
      </c>
      <c r="E25" s="18" t="n">
        <v>23.67434037</v>
      </c>
      <c r="F25" s="20" t="n">
        <v>1.95596961</v>
      </c>
      <c r="G25" s="18" t="n">
        <v>3.41511031</v>
      </c>
      <c r="H25" s="20" t="n">
        <v>0.98120744</v>
      </c>
      <c r="I25" s="18" t="n">
        <v>56.18019097</v>
      </c>
      <c r="J25" s="20" t="n">
        <v>2.79548112</v>
      </c>
      <c r="K25" s="18" t="s">
        <v>349</v>
      </c>
      <c r="L25" s="20" t="s">
        <v>349</v>
      </c>
      <c r="M25" s="18" t="n">
        <v>1.63369428</v>
      </c>
      <c r="N25" s="20" t="n">
        <v>0.67118036</v>
      </c>
      <c r="O25" s="18" t="n">
        <v>0</v>
      </c>
      <c r="P25" s="20" t="n">
        <v>0</v>
      </c>
      <c r="Q25" s="18" t="n">
        <v>0</v>
      </c>
      <c r="R25" s="20" t="n">
        <v>0</v>
      </c>
      <c r="S25" s="18" t="n">
        <v>15.09666407</v>
      </c>
      <c r="T25" s="20" t="n">
        <v>2.03141942</v>
      </c>
    </row>
    <row r="26" spans="1:20">
      <c r="A26" s="15" t="s">
        <v>368</v>
      </c>
      <c r="B26" s="17" t="n">
        <v>2450</v>
      </c>
      <c r="C26" s="18">
        <f>(2134.0/B26*100)</f>
        <v/>
      </c>
      <c r="D26" s="19" t="n">
        <v>316</v>
      </c>
      <c r="E26" s="18" t="n">
        <v>41.03907911</v>
      </c>
      <c r="F26" s="20" t="n">
        <v>3.0722009</v>
      </c>
      <c r="G26" s="18" t="n">
        <v>1.56241212</v>
      </c>
      <c r="H26" s="20" t="n">
        <v>0.88858542</v>
      </c>
      <c r="I26" s="18" t="n">
        <v>31.06727898</v>
      </c>
      <c r="J26" s="20" t="n">
        <v>2.83188286</v>
      </c>
      <c r="K26" s="18" t="s">
        <v>349</v>
      </c>
      <c r="L26" s="20" t="s">
        <v>349</v>
      </c>
      <c r="M26" s="18" t="n">
        <v>0.29455465</v>
      </c>
      <c r="N26" s="20" t="n">
        <v>0.30138393</v>
      </c>
      <c r="O26" s="18" t="n">
        <v>0</v>
      </c>
      <c r="P26" s="20" t="n">
        <v>0</v>
      </c>
      <c r="Q26" s="18" t="n">
        <v>0</v>
      </c>
      <c r="R26" s="20" t="n">
        <v>0</v>
      </c>
      <c r="S26" s="18" t="n">
        <v>26.03667513</v>
      </c>
      <c r="T26" s="20" t="n">
        <v>2.36313906</v>
      </c>
    </row>
    <row r="27" spans="1:20">
      <c r="A27" s="15" t="s">
        <v>369</v>
      </c>
      <c r="B27" s="17" t="n">
        <v>2616</v>
      </c>
      <c r="C27" s="18">
        <f>(2306.0/B27*100)</f>
        <v/>
      </c>
      <c r="D27" s="19" t="n">
        <v>310</v>
      </c>
      <c r="E27" s="18" t="n">
        <v>37.52418132</v>
      </c>
      <c r="F27" s="20" t="n">
        <v>2.92178976</v>
      </c>
      <c r="G27" s="18" t="n">
        <v>0.94554295</v>
      </c>
      <c r="H27" s="20" t="n">
        <v>0.53263106</v>
      </c>
      <c r="I27" s="18" t="n">
        <v>28.93142012</v>
      </c>
      <c r="J27" s="20" t="n">
        <v>2.52435894</v>
      </c>
      <c r="K27" s="18" t="s">
        <v>349</v>
      </c>
      <c r="L27" s="20" t="s">
        <v>349</v>
      </c>
      <c r="M27" s="18" t="n">
        <v>0.64474451</v>
      </c>
      <c r="N27" s="20" t="n">
        <v>0.45310908</v>
      </c>
      <c r="O27" s="18" t="n">
        <v>0</v>
      </c>
      <c r="P27" s="20" t="n">
        <v>0</v>
      </c>
      <c r="Q27" s="18" t="n">
        <v>0</v>
      </c>
      <c r="R27" s="20" t="n">
        <v>0</v>
      </c>
      <c r="S27" s="18" t="n">
        <v>31.9541111</v>
      </c>
      <c r="T27" s="20" t="n">
        <v>2.55244759</v>
      </c>
    </row>
    <row r="28" spans="1:20">
      <c r="A28" s="15" t="s">
        <v>370</v>
      </c>
      <c r="B28" s="17" t="n">
        <v>3765</v>
      </c>
      <c r="C28" s="18">
        <f>(3290.0/B28*100)</f>
        <v/>
      </c>
      <c r="D28" s="19" t="n">
        <v>475</v>
      </c>
      <c r="E28" s="18" t="n">
        <v>55.95897893</v>
      </c>
      <c r="F28" s="20" t="n">
        <v>2.26977725</v>
      </c>
      <c r="G28" s="18" t="n">
        <v>2.45964373</v>
      </c>
      <c r="H28" s="20" t="n">
        <v>0.81199575</v>
      </c>
      <c r="I28" s="18" t="n">
        <v>19.10507722</v>
      </c>
      <c r="J28" s="20" t="n">
        <v>2.18562409</v>
      </c>
      <c r="K28" s="18" t="s">
        <v>349</v>
      </c>
      <c r="L28" s="20" t="s">
        <v>349</v>
      </c>
      <c r="M28" s="18" t="n">
        <v>1.4236663</v>
      </c>
      <c r="N28" s="20" t="n">
        <v>0.70869627</v>
      </c>
      <c r="O28" s="18" t="n">
        <v>0.33053559</v>
      </c>
      <c r="P28" s="20" t="n">
        <v>0.3320318</v>
      </c>
      <c r="Q28" s="18" t="n">
        <v>0</v>
      </c>
      <c r="R28" s="20" t="n">
        <v>0</v>
      </c>
      <c r="S28" s="18" t="n">
        <v>20.72209824</v>
      </c>
      <c r="T28" s="20" t="n">
        <v>2.15970675</v>
      </c>
    </row>
    <row r="29" spans="1:20">
      <c r="A29" s="15" t="s">
        <v>371</v>
      </c>
      <c r="B29" s="17" t="n">
        <v>2685</v>
      </c>
      <c r="C29" s="18">
        <f>(2279.0/B29*100)</f>
        <v/>
      </c>
      <c r="D29" s="19" t="n">
        <v>406</v>
      </c>
      <c r="E29" s="18" t="n">
        <v>47.11844885</v>
      </c>
      <c r="F29" s="20" t="n">
        <v>2.84449225</v>
      </c>
      <c r="G29" s="18" t="n">
        <v>2.07741778</v>
      </c>
      <c r="H29" s="20" t="n">
        <v>0.7440281399999999</v>
      </c>
      <c r="I29" s="18" t="n">
        <v>29.42943932</v>
      </c>
      <c r="J29" s="20" t="n">
        <v>2.44253462</v>
      </c>
      <c r="K29" s="18" t="s">
        <v>349</v>
      </c>
      <c r="L29" s="20" t="s">
        <v>349</v>
      </c>
      <c r="M29" s="18" t="n">
        <v>2.00463861</v>
      </c>
      <c r="N29" s="20" t="n">
        <v>0.91647004</v>
      </c>
      <c r="O29" s="18" t="n">
        <v>0</v>
      </c>
      <c r="P29" s="20" t="n">
        <v>0</v>
      </c>
      <c r="Q29" s="18" t="n">
        <v>0</v>
      </c>
      <c r="R29" s="20" t="n">
        <v>0</v>
      </c>
      <c r="S29" s="18" t="n">
        <v>19.37005544</v>
      </c>
      <c r="T29" s="20" t="n">
        <v>2.6087597</v>
      </c>
    </row>
    <row r="30" spans="1:20">
      <c r="A30" s="15" t="s">
        <v>372</v>
      </c>
      <c r="B30" s="17" t="n">
        <v>2263</v>
      </c>
      <c r="C30" s="18">
        <f>(2003.0/B30*100)</f>
        <v/>
      </c>
      <c r="D30" s="19" t="n">
        <v>260</v>
      </c>
      <c r="E30" s="18" t="n">
        <v>35.04193354</v>
      </c>
      <c r="F30" s="20" t="n">
        <v>3.3404074</v>
      </c>
      <c r="G30" s="18" t="n">
        <v>0.5177459800000001</v>
      </c>
      <c r="H30" s="20" t="n">
        <v>0.37412036</v>
      </c>
      <c r="I30" s="18" t="n">
        <v>30.9158895</v>
      </c>
      <c r="J30" s="20" t="n">
        <v>2.89369151</v>
      </c>
      <c r="K30" s="18" t="s">
        <v>349</v>
      </c>
      <c r="L30" s="20" t="s">
        <v>349</v>
      </c>
      <c r="M30" s="18" t="n">
        <v>0.42829382</v>
      </c>
      <c r="N30" s="20" t="n">
        <v>0.41227593</v>
      </c>
      <c r="O30" s="18" t="n">
        <v>0.34352206</v>
      </c>
      <c r="P30" s="20" t="n">
        <v>0.34861497</v>
      </c>
      <c r="Q30" s="18" t="n">
        <v>0</v>
      </c>
      <c r="R30" s="20" t="n">
        <v>0</v>
      </c>
      <c r="S30" s="18" t="n">
        <v>32.75261509</v>
      </c>
      <c r="T30" s="20" t="n">
        <v>2.6988362</v>
      </c>
    </row>
    <row r="31" spans="1:20">
      <c r="A31" s="15" t="s">
        <v>373</v>
      </c>
      <c r="B31" s="17" t="n">
        <v>2750</v>
      </c>
      <c r="C31" s="18">
        <f>(2421.0/B31*100)</f>
        <v/>
      </c>
      <c r="D31" s="19" t="n">
        <v>329</v>
      </c>
      <c r="E31" s="18" t="n">
        <v>38.05507452</v>
      </c>
      <c r="F31" s="20" t="n">
        <v>3.22839616</v>
      </c>
      <c r="G31" s="18" t="n">
        <v>1.67493728</v>
      </c>
      <c r="H31" s="20" t="n">
        <v>0.7178766600000001</v>
      </c>
      <c r="I31" s="18" t="n">
        <v>27.15308719</v>
      </c>
      <c r="J31" s="20" t="n">
        <v>3.06583815</v>
      </c>
      <c r="K31" s="18" t="s">
        <v>349</v>
      </c>
      <c r="L31" s="20" t="s">
        <v>349</v>
      </c>
      <c r="M31" s="18" t="n">
        <v>1.21123654</v>
      </c>
      <c r="N31" s="20" t="n">
        <v>0.60290007</v>
      </c>
      <c r="O31" s="18" t="n">
        <v>0</v>
      </c>
      <c r="P31" s="20" t="n">
        <v>0</v>
      </c>
      <c r="Q31" s="18" t="n">
        <v>0</v>
      </c>
      <c r="R31" s="20" t="n">
        <v>0</v>
      </c>
      <c r="S31" s="18" t="n">
        <v>31.90566447</v>
      </c>
      <c r="T31" s="20" t="n">
        <v>2.83066727</v>
      </c>
    </row>
    <row r="32" spans="1:20">
      <c r="A32" s="15" t="s">
        <v>374</v>
      </c>
      <c r="B32" s="17" t="n">
        <v>2269</v>
      </c>
      <c r="C32" s="18">
        <f>(1890.0/B32*100)</f>
        <v/>
      </c>
      <c r="D32" s="19" t="n">
        <v>379</v>
      </c>
      <c r="E32" s="18" t="n">
        <v>32.18447289</v>
      </c>
      <c r="F32" s="20" t="n">
        <v>2.75636759</v>
      </c>
      <c r="G32" s="18" t="n">
        <v>2.04955085</v>
      </c>
      <c r="H32" s="20" t="n">
        <v>0.7546709</v>
      </c>
      <c r="I32" s="18" t="n">
        <v>35.57683338</v>
      </c>
      <c r="J32" s="20" t="n">
        <v>2.91819328</v>
      </c>
      <c r="K32" s="18" t="s">
        <v>349</v>
      </c>
      <c r="L32" s="20" t="s">
        <v>349</v>
      </c>
      <c r="M32" s="18" t="n">
        <v>0</v>
      </c>
      <c r="N32" s="20" t="n">
        <v>0</v>
      </c>
      <c r="O32" s="18" t="n">
        <v>0</v>
      </c>
      <c r="P32" s="20" t="n">
        <v>0</v>
      </c>
      <c r="Q32" s="18" t="n">
        <v>0</v>
      </c>
      <c r="R32" s="20" t="n">
        <v>0</v>
      </c>
      <c r="S32" s="18" t="n">
        <v>30.18914289</v>
      </c>
      <c r="T32" s="20" t="n">
        <v>2.66023173</v>
      </c>
    </row>
    <row r="33" spans="1:20">
      <c r="A33" s="15" t="s">
        <v>375</v>
      </c>
      <c r="B33" s="17" t="n">
        <v>3674</v>
      </c>
      <c r="C33" s="18">
        <f>(3221.0/B33*100)</f>
        <v/>
      </c>
      <c r="D33" s="19" t="n">
        <v>453</v>
      </c>
      <c r="E33" s="18" t="n">
        <v>30.5540406</v>
      </c>
      <c r="F33" s="20" t="n">
        <v>2.6037293</v>
      </c>
      <c r="G33" s="18" t="n">
        <v>3.17620978</v>
      </c>
      <c r="H33" s="20" t="n">
        <v>0.9895393300000001</v>
      </c>
      <c r="I33" s="18" t="n">
        <v>37.16513802</v>
      </c>
      <c r="J33" s="20" t="n">
        <v>3.09821428</v>
      </c>
      <c r="K33" s="18" t="s">
        <v>349</v>
      </c>
      <c r="L33" s="20" t="s">
        <v>349</v>
      </c>
      <c r="M33" s="18" t="n">
        <v>0.31941057</v>
      </c>
      <c r="N33" s="20" t="n">
        <v>0.27963821</v>
      </c>
      <c r="O33" s="18" t="n">
        <v>0</v>
      </c>
      <c r="P33" s="20" t="n">
        <v>0</v>
      </c>
      <c r="Q33" s="18" t="n">
        <v>0</v>
      </c>
      <c r="R33" s="20" t="n">
        <v>0</v>
      </c>
      <c r="S33" s="18" t="n">
        <v>28.78520103</v>
      </c>
      <c r="T33" s="20" t="n">
        <v>2.79081009</v>
      </c>
    </row>
    <row r="34" spans="1:20">
      <c r="A34" s="15" t="s">
        <v>376</v>
      </c>
      <c r="B34" s="17" t="n">
        <v>3315</v>
      </c>
      <c r="C34" s="18">
        <f>(2858.0/B34*100)</f>
        <v/>
      </c>
      <c r="D34" s="19" t="n">
        <v>457</v>
      </c>
      <c r="E34" s="18" t="n">
        <v>53.71720877</v>
      </c>
      <c r="F34" s="20" t="n">
        <v>2.5462181</v>
      </c>
      <c r="G34" s="18" t="n">
        <v>0.66858925</v>
      </c>
      <c r="H34" s="20" t="n">
        <v>0.4049577</v>
      </c>
      <c r="I34" s="18" t="n">
        <v>21.57348175</v>
      </c>
      <c r="J34" s="20" t="n">
        <v>2.12903101</v>
      </c>
      <c r="K34" s="18" t="s">
        <v>349</v>
      </c>
      <c r="L34" s="20" t="s">
        <v>349</v>
      </c>
      <c r="M34" s="18" t="n">
        <v>0.67453275</v>
      </c>
      <c r="N34" s="20" t="n">
        <v>0.39797534</v>
      </c>
      <c r="O34" s="18" t="n">
        <v>0.13711375</v>
      </c>
      <c r="P34" s="20" t="n">
        <v>0.13782162</v>
      </c>
      <c r="Q34" s="18" t="n">
        <v>0</v>
      </c>
      <c r="R34" s="20" t="n">
        <v>0</v>
      </c>
      <c r="S34" s="18" t="n">
        <v>23.22907372</v>
      </c>
      <c r="T34" s="20" t="n">
        <v>2.16109389</v>
      </c>
    </row>
    <row r="35" spans="1:20">
      <c r="A35" s="15" t="s">
        <v>377</v>
      </c>
      <c r="B35" s="17" t="n">
        <v>3505</v>
      </c>
      <c r="C35" s="18">
        <f>(2997.0/B35*100)</f>
        <v/>
      </c>
      <c r="D35" s="19" t="n">
        <v>508</v>
      </c>
      <c r="E35" s="18" t="n">
        <v>37.10224331</v>
      </c>
      <c r="F35" s="20" t="n">
        <v>2.35416661</v>
      </c>
      <c r="G35" s="18" t="n">
        <v>2.7365912</v>
      </c>
      <c r="H35" s="20" t="n">
        <v>1.00968233</v>
      </c>
      <c r="I35" s="18" t="n">
        <v>28.3212039</v>
      </c>
      <c r="J35" s="20" t="n">
        <v>2.85939834</v>
      </c>
      <c r="K35" s="18" t="s">
        <v>349</v>
      </c>
      <c r="L35" s="20" t="s">
        <v>349</v>
      </c>
      <c r="M35" s="18" t="n">
        <v>0.72042974</v>
      </c>
      <c r="N35" s="20" t="n">
        <v>0.26377212</v>
      </c>
      <c r="O35" s="18" t="n">
        <v>0.3900452</v>
      </c>
      <c r="P35" s="20" t="n">
        <v>0.38828644</v>
      </c>
      <c r="Q35" s="18" t="n">
        <v>0</v>
      </c>
      <c r="R35" s="20" t="n">
        <v>0</v>
      </c>
      <c r="S35" s="18" t="n">
        <v>30.72948664</v>
      </c>
      <c r="T35" s="20" t="n">
        <v>2.53300392</v>
      </c>
    </row>
    <row r="36" spans="1:20">
      <c r="A36" s="15" t="s">
        <v>378</v>
      </c>
      <c r="B36" s="17" t="n">
        <v>3332</v>
      </c>
      <c r="C36" s="18">
        <f>(2936.0/B36*100)</f>
        <v/>
      </c>
      <c r="D36" s="19" t="n">
        <v>396</v>
      </c>
      <c r="E36" s="18" t="n">
        <v>32.30796251</v>
      </c>
      <c r="F36" s="20" t="n">
        <v>2.60982296</v>
      </c>
      <c r="G36" s="18" t="n">
        <v>3.46659198</v>
      </c>
      <c r="H36" s="20" t="n">
        <v>0.92757603</v>
      </c>
      <c r="I36" s="18" t="n">
        <v>29.55898118</v>
      </c>
      <c r="J36" s="20" t="n">
        <v>2.57439998</v>
      </c>
      <c r="K36" s="18" t="s">
        <v>349</v>
      </c>
      <c r="L36" s="20" t="s">
        <v>349</v>
      </c>
      <c r="M36" s="18" t="n">
        <v>0.57786106</v>
      </c>
      <c r="N36" s="20" t="n">
        <v>0.33893626</v>
      </c>
      <c r="O36" s="18" t="n">
        <v>0</v>
      </c>
      <c r="P36" s="20" t="n">
        <v>0</v>
      </c>
      <c r="Q36" s="18" t="n">
        <v>0</v>
      </c>
      <c r="R36" s="20" t="n">
        <v>0</v>
      </c>
      <c r="S36" s="18" t="n">
        <v>34.08860327</v>
      </c>
      <c r="T36" s="20" t="n">
        <v>2.70650927</v>
      </c>
    </row>
    <row r="37" spans="1:20">
      <c r="A37" s="15" t="s">
        <v>379</v>
      </c>
      <c r="B37" s="17" t="n">
        <v>2727</v>
      </c>
      <c r="C37" s="18">
        <f>(2397.0/B37*100)</f>
        <v/>
      </c>
      <c r="D37" s="19" t="n">
        <v>330</v>
      </c>
      <c r="E37" s="18" t="n">
        <v>39.32550316</v>
      </c>
      <c r="F37" s="20" t="n">
        <v>2.24326003</v>
      </c>
      <c r="G37" s="18" t="n">
        <v>1.17490835</v>
      </c>
      <c r="H37" s="20" t="n">
        <v>0.60518494</v>
      </c>
      <c r="I37" s="18" t="n">
        <v>24.34510365</v>
      </c>
      <c r="J37" s="20" t="n">
        <v>2.472598</v>
      </c>
      <c r="K37" s="18" t="s">
        <v>349</v>
      </c>
      <c r="L37" s="20" t="s">
        <v>349</v>
      </c>
      <c r="M37" s="18" t="n">
        <v>1.42726954</v>
      </c>
      <c r="N37" s="20" t="n">
        <v>0.7263183</v>
      </c>
      <c r="O37" s="18" t="n">
        <v>0</v>
      </c>
      <c r="P37" s="20" t="n">
        <v>0</v>
      </c>
      <c r="Q37" s="18" t="n">
        <v>0</v>
      </c>
      <c r="R37" s="20" t="n">
        <v>0</v>
      </c>
      <c r="S37" s="18" t="n">
        <v>33.72721531</v>
      </c>
      <c r="T37" s="20" t="n">
        <v>2.6743432</v>
      </c>
    </row>
    <row r="38" spans="1:20">
      <c r="A38" s="15" t="s">
        <v>380</v>
      </c>
      <c r="B38" s="17" t="n">
        <v>3053</v>
      </c>
      <c r="C38" s="18">
        <f>(2516.0/B38*100)</f>
        <v/>
      </c>
      <c r="D38" s="19" t="n">
        <v>537</v>
      </c>
      <c r="E38" s="18" t="n">
        <v>33.66762003</v>
      </c>
      <c r="F38" s="20" t="n">
        <v>2.44807614</v>
      </c>
      <c r="G38" s="18" t="n">
        <v>1.75104407</v>
      </c>
      <c r="H38" s="20" t="n">
        <v>0.63266037</v>
      </c>
      <c r="I38" s="18" t="n">
        <v>35.21668615</v>
      </c>
      <c r="J38" s="20" t="n">
        <v>2.71794642</v>
      </c>
      <c r="K38" s="18" t="s">
        <v>349</v>
      </c>
      <c r="L38" s="20" t="s">
        <v>349</v>
      </c>
      <c r="M38" s="18" t="n">
        <v>0</v>
      </c>
      <c r="N38" s="20" t="n">
        <v>0</v>
      </c>
      <c r="O38" s="18" t="n">
        <v>0</v>
      </c>
      <c r="P38" s="20" t="n">
        <v>0</v>
      </c>
      <c r="Q38" s="18" t="n">
        <v>0</v>
      </c>
      <c r="R38" s="20" t="n">
        <v>0</v>
      </c>
      <c r="S38" s="18" t="n">
        <v>29.36464975</v>
      </c>
      <c r="T38" s="20" t="n">
        <v>2.24693894</v>
      </c>
    </row>
    <row r="39" spans="1:20">
      <c r="A39" s="15" t="s">
        <v>381</v>
      </c>
      <c r="B39" s="17" t="n">
        <v>2957</v>
      </c>
      <c r="C39" s="18">
        <f>(2589.0/B39*100)</f>
        <v/>
      </c>
      <c r="D39" s="19" t="n">
        <v>368</v>
      </c>
      <c r="E39" s="18" t="n">
        <v>51.89097339</v>
      </c>
      <c r="F39" s="20" t="n">
        <v>2.81831366</v>
      </c>
      <c r="G39" s="18" t="n">
        <v>6.37509403</v>
      </c>
      <c r="H39" s="20" t="n">
        <v>1.51399629</v>
      </c>
      <c r="I39" s="18" t="n">
        <v>22.07776113</v>
      </c>
      <c r="J39" s="20" t="n">
        <v>2.31219339</v>
      </c>
      <c r="K39" s="18" t="s">
        <v>349</v>
      </c>
      <c r="L39" s="20" t="s">
        <v>349</v>
      </c>
      <c r="M39" s="18" t="n">
        <v>0.24121006</v>
      </c>
      <c r="N39" s="20" t="n">
        <v>0.24324237</v>
      </c>
      <c r="O39" s="18" t="n">
        <v>0</v>
      </c>
      <c r="P39" s="20" t="n">
        <v>0</v>
      </c>
      <c r="Q39" s="18" t="n">
        <v>0</v>
      </c>
      <c r="R39" s="20" t="n">
        <v>0</v>
      </c>
      <c r="S39" s="18" t="n">
        <v>19.41496139</v>
      </c>
      <c r="T39" s="20" t="n">
        <v>2.3314179</v>
      </c>
    </row>
    <row r="40" spans="1:20">
      <c r="A40" s="15" t="s">
        <v>382</v>
      </c>
      <c r="B40" s="17" t="n">
        <v>7235</v>
      </c>
      <c r="C40" s="18">
        <f>(6358.0/B40*100)</f>
        <v/>
      </c>
      <c r="D40" s="19" t="n">
        <v>877</v>
      </c>
      <c r="E40" s="18" t="n">
        <v>32.02487988</v>
      </c>
      <c r="F40" s="20" t="n">
        <v>2.42954493</v>
      </c>
      <c r="G40" s="18" t="n">
        <v>0.33191196</v>
      </c>
      <c r="H40" s="20" t="n">
        <v>0.09194952000000001</v>
      </c>
      <c r="I40" s="18" t="n">
        <v>32.80540442</v>
      </c>
      <c r="J40" s="20" t="n">
        <v>3.1592895</v>
      </c>
      <c r="K40" s="18" t="s">
        <v>349</v>
      </c>
      <c r="L40" s="20" t="s">
        <v>349</v>
      </c>
      <c r="M40" s="18" t="n">
        <v>0.9553807600000001</v>
      </c>
      <c r="N40" s="20" t="n">
        <v>0.50448567</v>
      </c>
      <c r="O40" s="18" t="n">
        <v>0.1899032</v>
      </c>
      <c r="P40" s="20" t="n">
        <v>0.18160334</v>
      </c>
      <c r="Q40" s="18" t="n">
        <v>0</v>
      </c>
      <c r="R40" s="20" t="n">
        <v>0</v>
      </c>
      <c r="S40" s="18" t="n">
        <v>33.69251979</v>
      </c>
      <c r="T40" s="20" t="n">
        <v>2.55491607</v>
      </c>
    </row>
    <row r="41" spans="1:20">
      <c r="A41" s="15" t="s">
        <v>383</v>
      </c>
      <c r="B41" s="17" t="n">
        <v>2858</v>
      </c>
      <c r="C41" s="18">
        <f>(2498.0/B41*100)</f>
        <v/>
      </c>
      <c r="D41" s="19" t="n">
        <v>360</v>
      </c>
      <c r="E41" s="18" t="n">
        <v>57.90318327</v>
      </c>
      <c r="F41" s="20" t="n">
        <v>2.67651721</v>
      </c>
      <c r="G41" s="18" t="n">
        <v>1.49740421</v>
      </c>
      <c r="H41" s="20" t="n">
        <v>0.64653896</v>
      </c>
      <c r="I41" s="18" t="n">
        <v>27.98173898</v>
      </c>
      <c r="J41" s="20" t="n">
        <v>2.59018671</v>
      </c>
      <c r="K41" s="18" t="s">
        <v>349</v>
      </c>
      <c r="L41" s="20" t="s">
        <v>349</v>
      </c>
      <c r="M41" s="18" t="n">
        <v>0.26578496</v>
      </c>
      <c r="N41" s="20" t="n">
        <v>0.25721132</v>
      </c>
      <c r="O41" s="18" t="n">
        <v>0</v>
      </c>
      <c r="P41" s="20" t="n">
        <v>0</v>
      </c>
      <c r="Q41" s="18" t="n">
        <v>0</v>
      </c>
      <c r="R41" s="20" t="n">
        <v>0</v>
      </c>
      <c r="S41" s="18" t="n">
        <v>12.35188858</v>
      </c>
      <c r="T41" s="20" t="n">
        <v>1.77593651</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11068</v>
      </c>
      <c r="C46" s="18">
        <f>(9811.0/B46*100)</f>
        <v/>
      </c>
      <c r="D46" s="19" t="n">
        <v>1257</v>
      </c>
      <c r="E46" s="18" t="n">
        <v>53.27436171</v>
      </c>
      <c r="F46" s="20" t="n">
        <v>2.0431531</v>
      </c>
      <c r="G46" s="18" t="n">
        <v>5.2332889</v>
      </c>
      <c r="H46" s="20" t="n">
        <v>0.83767241</v>
      </c>
      <c r="I46" s="18" t="n">
        <v>7.34627045</v>
      </c>
      <c r="J46" s="20" t="n">
        <v>1.14110991</v>
      </c>
      <c r="K46" s="18" t="s">
        <v>349</v>
      </c>
      <c r="L46" s="20" t="s">
        <v>349</v>
      </c>
      <c r="M46" s="18" t="n">
        <v>0.76098892</v>
      </c>
      <c r="N46" s="20" t="n">
        <v>0.30572511</v>
      </c>
      <c r="O46" s="18" t="n">
        <v>0.15520238</v>
      </c>
      <c r="P46" s="20" t="n">
        <v>0.09398007</v>
      </c>
      <c r="Q46" s="18" t="n">
        <v>0</v>
      </c>
      <c r="R46" s="20" t="n">
        <v>0</v>
      </c>
      <c r="S46" s="18" t="n">
        <v>33.22988763</v>
      </c>
      <c r="T46" s="20" t="n">
        <v>2.11018182</v>
      </c>
    </row>
    <row r="47" spans="1:20">
      <c r="A47" s="15" t="s">
        <v>389</v>
      </c>
      <c r="B47" s="17" t="n">
        <v>3105</v>
      </c>
      <c r="C47" s="18">
        <f>(2746.0/B47*100)</f>
        <v/>
      </c>
      <c r="D47" s="19" t="n">
        <v>359</v>
      </c>
      <c r="E47" s="18" t="n">
        <v>37.89941746</v>
      </c>
      <c r="F47" s="20" t="n">
        <v>2.85595341</v>
      </c>
      <c r="G47" s="18" t="n">
        <v>3.96354734</v>
      </c>
      <c r="H47" s="20" t="n">
        <v>0.88059753</v>
      </c>
      <c r="I47" s="18" t="n">
        <v>23.68015064</v>
      </c>
      <c r="J47" s="20" t="n">
        <v>2.66606725</v>
      </c>
      <c r="K47" s="18" t="s">
        <v>349</v>
      </c>
      <c r="L47" s="20" t="s">
        <v>349</v>
      </c>
      <c r="M47" s="18" t="n">
        <v>1.07868974</v>
      </c>
      <c r="N47" s="20" t="n">
        <v>0.56424734</v>
      </c>
      <c r="O47" s="18" t="n">
        <v>0</v>
      </c>
      <c r="P47" s="20" t="n">
        <v>0</v>
      </c>
      <c r="Q47" s="18" t="n">
        <v>0</v>
      </c>
      <c r="R47" s="20" t="n">
        <v>0</v>
      </c>
      <c r="S47" s="18" t="n">
        <v>33.37819482</v>
      </c>
      <c r="T47" s="20" t="n">
        <v>2.65553503</v>
      </c>
    </row>
    <row r="48" spans="1:20">
      <c r="A48" s="15" t="s">
        <v>390</v>
      </c>
      <c r="B48" s="17" t="n">
        <v>5159</v>
      </c>
      <c r="C48" s="18">
        <f>(4518.0/B48*100)</f>
        <v/>
      </c>
      <c r="D48" s="19" t="n">
        <v>641</v>
      </c>
      <c r="E48" s="18" t="n">
        <v>30.13080028</v>
      </c>
      <c r="F48" s="20" t="n">
        <v>2.28822922</v>
      </c>
      <c r="G48" s="18" t="n">
        <v>3.11352752</v>
      </c>
      <c r="H48" s="20" t="n">
        <v>0.82880329</v>
      </c>
      <c r="I48" s="18" t="n">
        <v>57.02191255</v>
      </c>
      <c r="J48" s="20" t="n">
        <v>2.77932802</v>
      </c>
      <c r="K48" s="18" t="s">
        <v>349</v>
      </c>
      <c r="L48" s="20" t="s">
        <v>349</v>
      </c>
      <c r="M48" s="18" t="n">
        <v>0.87880308</v>
      </c>
      <c r="N48" s="20" t="n">
        <v>0.45764995</v>
      </c>
      <c r="O48" s="18" t="n">
        <v>0.11688532</v>
      </c>
      <c r="P48" s="20" t="n">
        <v>0.11673034</v>
      </c>
      <c r="Q48" s="18" t="n">
        <v>0</v>
      </c>
      <c r="R48" s="20" t="n">
        <v>0</v>
      </c>
      <c r="S48" s="18" t="n">
        <v>8.73807126</v>
      </c>
      <c r="T48" s="20" t="n">
        <v>1.37584488</v>
      </c>
    </row>
    <row r="49" spans="1:20">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5637</v>
      </c>
      <c r="C50" s="18">
        <f>(4943.0/B50*100)</f>
        <v/>
      </c>
      <c r="D50" s="19" t="n">
        <v>694</v>
      </c>
      <c r="E50" s="18" t="n">
        <v>67.05351226000001</v>
      </c>
      <c r="F50" s="20" t="n">
        <v>2.6548776</v>
      </c>
      <c r="G50" s="18" t="n">
        <v>2.85950885</v>
      </c>
      <c r="H50" s="20" t="n">
        <v>0.87115058</v>
      </c>
      <c r="I50" s="18" t="n">
        <v>9.2801662</v>
      </c>
      <c r="J50" s="20" t="n">
        <v>1.3990403</v>
      </c>
      <c r="K50" s="18" t="s">
        <v>349</v>
      </c>
      <c r="L50" s="20" t="s">
        <v>349</v>
      </c>
      <c r="M50" s="18" t="n">
        <v>1.50993084</v>
      </c>
      <c r="N50" s="20" t="n">
        <v>0.65546156</v>
      </c>
      <c r="O50" s="18" t="n">
        <v>0.9519222899999999</v>
      </c>
      <c r="P50" s="20" t="n">
        <v>0.43498567</v>
      </c>
      <c r="Q50" s="18" t="n">
        <v>0</v>
      </c>
      <c r="R50" s="20" t="n">
        <v>0</v>
      </c>
      <c r="S50" s="18" t="n">
        <v>18.34495956</v>
      </c>
      <c r="T50" s="20" t="n">
        <v>1.85030093</v>
      </c>
    </row>
    <row r="51" spans="1:20">
      <c r="A51" s="15" t="s">
        <v>393</v>
      </c>
      <c r="B51" s="17" t="n">
        <v>3372</v>
      </c>
      <c r="C51" s="18">
        <f>(2654.0/B51*100)</f>
        <v/>
      </c>
      <c r="D51" s="19" t="n">
        <v>718</v>
      </c>
      <c r="E51" s="18" t="n">
        <v>56.76450654</v>
      </c>
      <c r="F51" s="20" t="n">
        <v>2.28806484</v>
      </c>
      <c r="G51" s="18" t="n">
        <v>2.94943978</v>
      </c>
      <c r="H51" s="20" t="n">
        <v>0.61480385</v>
      </c>
      <c r="I51" s="18" t="n">
        <v>9.32195402</v>
      </c>
      <c r="J51" s="20" t="n">
        <v>1.24633724</v>
      </c>
      <c r="K51" s="18" t="s">
        <v>349</v>
      </c>
      <c r="L51" s="20" t="s">
        <v>349</v>
      </c>
      <c r="M51" s="18" t="n">
        <v>0.47170859</v>
      </c>
      <c r="N51" s="20" t="n">
        <v>0.25871048</v>
      </c>
      <c r="O51" s="18" t="n">
        <v>0</v>
      </c>
      <c r="P51" s="20" t="n">
        <v>0</v>
      </c>
      <c r="Q51" s="18" t="n">
        <v>0</v>
      </c>
      <c r="R51" s="20" t="n">
        <v>0</v>
      </c>
      <c r="S51" s="18" t="n">
        <v>30.49239106</v>
      </c>
      <c r="T51" s="20" t="n">
        <v>1.81902882</v>
      </c>
    </row>
    <row r="52" spans="1:20">
      <c r="A52" s="15" t="s">
        <v>394</v>
      </c>
      <c r="B52" s="17" t="n">
        <v>2796</v>
      </c>
      <c r="C52" s="18">
        <f>(2454.0/B52*100)</f>
        <v/>
      </c>
      <c r="D52" s="19" t="n">
        <v>342</v>
      </c>
      <c r="E52" s="18" t="n">
        <v>37.88433611</v>
      </c>
      <c r="F52" s="20" t="n">
        <v>2.74525818</v>
      </c>
      <c r="G52" s="18" t="n">
        <v>1.14245085</v>
      </c>
      <c r="H52" s="20" t="n">
        <v>0.62515586</v>
      </c>
      <c r="I52" s="18" t="n">
        <v>18.94389292</v>
      </c>
      <c r="J52" s="20" t="n">
        <v>2.41622865</v>
      </c>
      <c r="K52" s="18" t="s">
        <v>349</v>
      </c>
      <c r="L52" s="20" t="s">
        <v>349</v>
      </c>
      <c r="M52" s="18" t="n">
        <v>1.01132871</v>
      </c>
      <c r="N52" s="20" t="n">
        <v>0.58271626</v>
      </c>
      <c r="O52" s="18" t="n">
        <v>0</v>
      </c>
      <c r="P52" s="20" t="n">
        <v>0</v>
      </c>
      <c r="Q52" s="18" t="n">
        <v>0</v>
      </c>
      <c r="R52" s="20" t="n">
        <v>0</v>
      </c>
      <c r="S52" s="18" t="n">
        <v>41.01799141</v>
      </c>
      <c r="T52" s="20" t="n">
        <v>2.75808256</v>
      </c>
    </row>
    <row r="53" spans="1:20">
      <c r="A53" s="15" t="s">
        <v>395</v>
      </c>
      <c r="B53" s="17" t="n">
        <v>2811</v>
      </c>
      <c r="C53" s="18">
        <f>(2467.0/B53*100)</f>
        <v/>
      </c>
      <c r="D53" s="19" t="n">
        <v>344</v>
      </c>
      <c r="E53" s="18" t="n">
        <v>52.29926887</v>
      </c>
      <c r="F53" s="20" t="n">
        <v>2.8650423</v>
      </c>
      <c r="G53" s="18" t="n">
        <v>0</v>
      </c>
      <c r="H53" s="20" t="n">
        <v>0</v>
      </c>
      <c r="I53" s="18" t="n">
        <v>15.52178341</v>
      </c>
      <c r="J53" s="20" t="n">
        <v>2.38252494</v>
      </c>
      <c r="K53" s="18" t="s">
        <v>349</v>
      </c>
      <c r="L53" s="20" t="s">
        <v>349</v>
      </c>
      <c r="M53" s="18" t="n">
        <v>1.10745886</v>
      </c>
      <c r="N53" s="20" t="n">
        <v>0.66368655</v>
      </c>
      <c r="O53" s="18" t="n">
        <v>0</v>
      </c>
      <c r="P53" s="20" t="n">
        <v>0</v>
      </c>
      <c r="Q53" s="18" t="n">
        <v>0</v>
      </c>
      <c r="R53" s="20" t="n">
        <v>0</v>
      </c>
      <c r="S53" s="18" t="n">
        <v>31.07148886</v>
      </c>
      <c r="T53" s="20" t="n">
        <v>2.84530763</v>
      </c>
    </row>
    <row r="54" spans="1:20">
      <c r="A54" s="15" t="s">
        <v>396</v>
      </c>
      <c r="B54" s="17" t="n">
        <v>2266</v>
      </c>
      <c r="C54" s="18">
        <f>(1926.0/B54*100)</f>
        <v/>
      </c>
      <c r="D54" s="19" t="n">
        <v>340</v>
      </c>
      <c r="E54" s="18" t="n">
        <v>63.07716924</v>
      </c>
      <c r="F54" s="20" t="n">
        <v>2.28864044</v>
      </c>
      <c r="G54" s="18" t="n">
        <v>0.89193269</v>
      </c>
      <c r="H54" s="20" t="n">
        <v>0.50527051</v>
      </c>
      <c r="I54" s="18" t="n">
        <v>2.00075811</v>
      </c>
      <c r="J54" s="20" t="n">
        <v>0.58129016</v>
      </c>
      <c r="K54" s="18" t="s">
        <v>349</v>
      </c>
      <c r="L54" s="20" t="s">
        <v>349</v>
      </c>
      <c r="M54" s="18" t="n">
        <v>3.93839042</v>
      </c>
      <c r="N54" s="20" t="n">
        <v>1.14196148</v>
      </c>
      <c r="O54" s="18" t="n">
        <v>0.59222192</v>
      </c>
      <c r="P54" s="20" t="n">
        <v>0.4608647</v>
      </c>
      <c r="Q54" s="18" t="n">
        <v>0</v>
      </c>
      <c r="R54" s="20" t="n">
        <v>0</v>
      </c>
      <c r="S54" s="18" t="n">
        <v>29.49952762</v>
      </c>
      <c r="T54" s="20" t="n">
        <v>2.51561736</v>
      </c>
    </row>
    <row r="55" spans="1:20">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2684</v>
      </c>
      <c r="C56" s="18">
        <f>(2350.0/B56*100)</f>
        <v/>
      </c>
      <c r="D56" s="19" t="n">
        <v>334</v>
      </c>
      <c r="E56" s="18" t="n">
        <v>33.59789621</v>
      </c>
      <c r="F56" s="20" t="n">
        <v>2.99013283</v>
      </c>
      <c r="G56" s="18" t="n">
        <v>3.84615815</v>
      </c>
      <c r="H56" s="20" t="n">
        <v>1.44419373</v>
      </c>
      <c r="I56" s="18" t="n">
        <v>48.27611494</v>
      </c>
      <c r="J56" s="20" t="n">
        <v>2.81403135</v>
      </c>
      <c r="K56" s="18" t="s">
        <v>349</v>
      </c>
      <c r="L56" s="20" t="s">
        <v>349</v>
      </c>
      <c r="M56" s="18" t="n">
        <v>0</v>
      </c>
      <c r="N56" s="20" t="n">
        <v>0</v>
      </c>
      <c r="O56" s="18" t="n">
        <v>0.51938548</v>
      </c>
      <c r="P56" s="20" t="n">
        <v>0.5232151900000001</v>
      </c>
      <c r="Q56" s="18" t="n">
        <v>0</v>
      </c>
      <c r="R56" s="20" t="n">
        <v>0</v>
      </c>
      <c r="S56" s="18" t="n">
        <v>13.76044522</v>
      </c>
      <c r="T56" s="20" t="n">
        <v>1.83398647</v>
      </c>
    </row>
    <row r="57" spans="1:20">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3324</v>
      </c>
      <c r="C61" s="18">
        <f>(2904.0/B61*100)</f>
        <v/>
      </c>
      <c r="D61" s="19" t="n">
        <v>420</v>
      </c>
      <c r="E61" s="18" t="n">
        <v>39.14370166</v>
      </c>
      <c r="F61" s="20" t="n">
        <v>2.94161979</v>
      </c>
      <c r="G61" s="18" t="n">
        <v>1.69396758</v>
      </c>
      <c r="H61" s="20" t="n">
        <v>0.72434481</v>
      </c>
      <c r="I61" s="18" t="n">
        <v>30.94796788</v>
      </c>
      <c r="J61" s="20" t="n">
        <v>2.81757175</v>
      </c>
      <c r="K61" s="18" t="s">
        <v>349</v>
      </c>
      <c r="L61" s="20" t="s">
        <v>349</v>
      </c>
      <c r="M61" s="18" t="n">
        <v>0.23918804</v>
      </c>
      <c r="N61" s="20" t="n">
        <v>0.24034604</v>
      </c>
      <c r="O61" s="18" t="n">
        <v>0</v>
      </c>
      <c r="P61" s="20" t="n">
        <v>0</v>
      </c>
      <c r="Q61" s="18" t="n">
        <v>0</v>
      </c>
      <c r="R61" s="20" t="n">
        <v>0</v>
      </c>
      <c r="S61" s="18" t="n">
        <v>27.97517484</v>
      </c>
      <c r="T61" s="20" t="n">
        <v>2.59394268</v>
      </c>
    </row>
    <row r="62" spans="1:20">
      <c r="A62" s="15" t="s">
        <v>404</v>
      </c>
      <c r="B62" s="17" t="n">
        <v>2246</v>
      </c>
      <c r="C62" s="18">
        <f>(1947.0/B62*100)</f>
        <v/>
      </c>
      <c r="D62" s="19" t="n">
        <v>299</v>
      </c>
      <c r="E62" s="18" t="n">
        <v>28.77889513</v>
      </c>
      <c r="F62" s="20" t="n">
        <v>2.36304606</v>
      </c>
      <c r="G62" s="18" t="n">
        <v>2.68812573</v>
      </c>
      <c r="H62" s="20" t="n">
        <v>0.80952493</v>
      </c>
      <c r="I62" s="18" t="n">
        <v>51.83067763</v>
      </c>
      <c r="J62" s="20" t="n">
        <v>2.60765889</v>
      </c>
      <c r="K62" s="18" t="s">
        <v>349</v>
      </c>
      <c r="L62" s="20" t="s">
        <v>349</v>
      </c>
      <c r="M62" s="18" t="n">
        <v>0</v>
      </c>
      <c r="N62" s="20" t="n">
        <v>0</v>
      </c>
      <c r="O62" s="18" t="n">
        <v>0</v>
      </c>
      <c r="P62" s="20" t="n">
        <v>0</v>
      </c>
      <c r="Q62" s="18" t="n">
        <v>0</v>
      </c>
      <c r="R62" s="20" t="n">
        <v>0</v>
      </c>
      <c r="S62" s="18" t="n">
        <v>16.70230151</v>
      </c>
      <c r="T62" s="20" t="n">
        <v>1.86194192</v>
      </c>
    </row>
    <row r="63" spans="1:20">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2894</v>
      </c>
      <c r="C66" s="18">
        <f>(2541.0/B66*100)</f>
        <v/>
      </c>
      <c r="D66" s="19" t="n">
        <v>353</v>
      </c>
      <c r="E66" s="18" t="n">
        <v>37.28455554</v>
      </c>
      <c r="F66" s="20" t="n">
        <v>2.80306472</v>
      </c>
      <c r="G66" s="18" t="n">
        <v>0.95633144</v>
      </c>
      <c r="H66" s="20" t="n">
        <v>0.54550775</v>
      </c>
      <c r="I66" s="18" t="n">
        <v>8.73552819</v>
      </c>
      <c r="J66" s="20" t="n">
        <v>1.77699473</v>
      </c>
      <c r="K66" s="18" t="s">
        <v>349</v>
      </c>
      <c r="L66" s="20" t="s">
        <v>349</v>
      </c>
      <c r="M66" s="18" t="n">
        <v>1.36687298</v>
      </c>
      <c r="N66" s="20" t="n">
        <v>0.49482332</v>
      </c>
      <c r="O66" s="18" t="n">
        <v>0</v>
      </c>
      <c r="P66" s="20" t="n">
        <v>0</v>
      </c>
      <c r="Q66" s="18" t="n">
        <v>0</v>
      </c>
      <c r="R66" s="20" t="n">
        <v>0</v>
      </c>
      <c r="S66" s="18" t="n">
        <v>51.65671186</v>
      </c>
      <c r="T66" s="20" t="n">
        <v>3.08933844</v>
      </c>
    </row>
    <row r="67" spans="1:20">
      <c r="A67" s="15" t="s">
        <v>409</v>
      </c>
      <c r="B67" s="17" t="n">
        <v>3511</v>
      </c>
      <c r="C67" s="18">
        <f>(3105.0/B67*100)</f>
        <v/>
      </c>
      <c r="D67" s="19" t="n">
        <v>406</v>
      </c>
      <c r="E67" s="18" t="n">
        <v>56.34225149</v>
      </c>
      <c r="F67" s="20" t="n">
        <v>2.57971566</v>
      </c>
      <c r="G67" s="18" t="n">
        <v>0.85671192</v>
      </c>
      <c r="H67" s="20" t="n">
        <v>0.43385562</v>
      </c>
      <c r="I67" s="18" t="n">
        <v>9.878474150000001</v>
      </c>
      <c r="J67" s="20" t="n">
        <v>1.53592811</v>
      </c>
      <c r="K67" s="18" t="s">
        <v>349</v>
      </c>
      <c r="L67" s="20" t="s">
        <v>349</v>
      </c>
      <c r="M67" s="18" t="n">
        <v>0.10289595</v>
      </c>
      <c r="N67" s="20" t="n">
        <v>0.10306137</v>
      </c>
      <c r="O67" s="18" t="n">
        <v>0.20179167</v>
      </c>
      <c r="P67" s="20" t="n">
        <v>0.20116599</v>
      </c>
      <c r="Q67" s="18" t="n">
        <v>0</v>
      </c>
      <c r="R67" s="20" t="n">
        <v>0</v>
      </c>
      <c r="S67" s="18" t="n">
        <v>32.61787483</v>
      </c>
      <c r="T67" s="20" t="n">
        <v>2.36845472</v>
      </c>
    </row>
    <row r="68" spans="1:20">
      <c r="A68" s="15" t="s">
        <v>410</v>
      </c>
      <c r="B68" s="17" t="n">
        <v>6049</v>
      </c>
      <c r="C68" s="18">
        <f>(5046.0/B68*100)</f>
        <v/>
      </c>
      <c r="D68" s="19" t="n">
        <v>1003</v>
      </c>
      <c r="E68" s="18" t="n">
        <v>59.64646478</v>
      </c>
      <c r="F68" s="20" t="n">
        <v>1.6383792</v>
      </c>
      <c r="G68" s="18" t="n">
        <v>1.3623681</v>
      </c>
      <c r="H68" s="20" t="n">
        <v>0.38062114</v>
      </c>
      <c r="I68" s="18" t="n">
        <v>13.63132623</v>
      </c>
      <c r="J68" s="20" t="n">
        <v>1.02101771</v>
      </c>
      <c r="K68" s="18" t="s">
        <v>349</v>
      </c>
      <c r="L68" s="20" t="s">
        <v>349</v>
      </c>
      <c r="M68" s="18" t="n">
        <v>2.48065657</v>
      </c>
      <c r="N68" s="20" t="n">
        <v>0.48370086</v>
      </c>
      <c r="O68" s="18" t="n">
        <v>0.09714668</v>
      </c>
      <c r="P68" s="20" t="n">
        <v>0.09751688999999999</v>
      </c>
      <c r="Q68" s="18" t="n">
        <v>0</v>
      </c>
      <c r="R68" s="20" t="n">
        <v>0</v>
      </c>
      <c r="S68" s="18" t="n">
        <v>22.78203763</v>
      </c>
      <c r="T68" s="20" t="n">
        <v>1.45760021</v>
      </c>
    </row>
    <row r="69" spans="1:20">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2929</v>
      </c>
      <c r="C70" s="18">
        <f>(2541.0/B70*100)</f>
        <v/>
      </c>
      <c r="D70" s="19" t="n">
        <v>388</v>
      </c>
      <c r="E70" s="18" t="n">
        <v>34.3128083</v>
      </c>
      <c r="F70" s="20" t="n">
        <v>2.6535587</v>
      </c>
      <c r="G70" s="18" t="n">
        <v>2.00654227</v>
      </c>
      <c r="H70" s="20" t="n">
        <v>0.77248745</v>
      </c>
      <c r="I70" s="18" t="n">
        <v>41.42071985</v>
      </c>
      <c r="J70" s="20" t="n">
        <v>2.81998677</v>
      </c>
      <c r="K70" s="18" t="s">
        <v>349</v>
      </c>
      <c r="L70" s="20" t="s">
        <v>349</v>
      </c>
      <c r="M70" s="18" t="n">
        <v>0</v>
      </c>
      <c r="N70" s="20" t="n">
        <v>0</v>
      </c>
      <c r="O70" s="18" t="n">
        <v>0.75367121</v>
      </c>
      <c r="P70" s="20" t="n">
        <v>0.43550156</v>
      </c>
      <c r="Q70" s="18" t="n">
        <v>0</v>
      </c>
      <c r="R70" s="20" t="n">
        <v>0</v>
      </c>
      <c r="S70" s="18" t="n">
        <v>21.50625837</v>
      </c>
      <c r="T70" s="20" t="n">
        <v>2.28391648</v>
      </c>
    </row>
    <row r="71" spans="1:20">
      <c r="A71" s="15" t="s">
        <v>413</v>
      </c>
      <c r="B71" s="17" t="n">
        <v>3142</v>
      </c>
      <c r="C71" s="18">
        <f>(2754.0/B71*100)</f>
        <v/>
      </c>
      <c r="D71" s="19" t="n">
        <v>388</v>
      </c>
      <c r="E71" s="18" t="n">
        <v>21.37515072</v>
      </c>
      <c r="F71" s="20" t="n">
        <v>2.19090178</v>
      </c>
      <c r="G71" s="18" t="n">
        <v>3.74032345</v>
      </c>
      <c r="H71" s="20" t="n">
        <v>1.05659416</v>
      </c>
      <c r="I71" s="18" t="n">
        <v>61.5631192</v>
      </c>
      <c r="J71" s="20" t="n">
        <v>3.09239788</v>
      </c>
      <c r="K71" s="18" t="s">
        <v>349</v>
      </c>
      <c r="L71" s="20" t="s">
        <v>349</v>
      </c>
      <c r="M71" s="18" t="n">
        <v>0.15207417</v>
      </c>
      <c r="N71" s="20" t="n">
        <v>0.15462322</v>
      </c>
      <c r="O71" s="18" t="n">
        <v>0</v>
      </c>
      <c r="P71" s="20" t="n">
        <v>0</v>
      </c>
      <c r="Q71" s="18" t="n">
        <v>0</v>
      </c>
      <c r="R71" s="20" t="n">
        <v>0</v>
      </c>
      <c r="S71" s="18" t="n">
        <v>13.16933246</v>
      </c>
      <c r="T71" s="20" t="n">
        <v>1.6481576</v>
      </c>
    </row>
    <row r="72" spans="1:20">
      <c r="A72" s="15" t="s">
        <v>414</v>
      </c>
      <c r="B72" s="17" t="n">
        <v>3889</v>
      </c>
      <c r="C72" s="18">
        <f>(3420.0/B72*100)</f>
        <v/>
      </c>
      <c r="D72" s="19" t="n">
        <v>469</v>
      </c>
      <c r="E72" s="18" t="n">
        <v>25.25889405</v>
      </c>
      <c r="F72" s="20" t="n">
        <v>2.23155398</v>
      </c>
      <c r="G72" s="18" t="n">
        <v>5.13782507</v>
      </c>
      <c r="H72" s="20" t="n">
        <v>0.98172443</v>
      </c>
      <c r="I72" s="18" t="n">
        <v>58.34603921</v>
      </c>
      <c r="J72" s="20" t="n">
        <v>2.6675494</v>
      </c>
      <c r="K72" s="18" t="s">
        <v>349</v>
      </c>
      <c r="L72" s="20" t="s">
        <v>349</v>
      </c>
      <c r="M72" s="18" t="n">
        <v>0.28765052</v>
      </c>
      <c r="N72" s="20" t="n">
        <v>0.28707966</v>
      </c>
      <c r="O72" s="18" t="n">
        <v>0</v>
      </c>
      <c r="P72" s="20" t="n">
        <v>0</v>
      </c>
      <c r="Q72" s="18" t="n">
        <v>0</v>
      </c>
      <c r="R72" s="20" t="n">
        <v>0</v>
      </c>
      <c r="S72" s="18" t="n">
        <v>10.96959115</v>
      </c>
      <c r="T72" s="20" t="n">
        <v>1.60321484</v>
      </c>
    </row>
    <row r="73" spans="1:20">
      <c r="A73" s="15" t="s">
        <v>415</v>
      </c>
      <c r="B73" s="17" t="n">
        <v>3597</v>
      </c>
      <c r="C73" s="18">
        <f>(3171.0/B73*100)</f>
        <v/>
      </c>
      <c r="D73" s="19" t="n">
        <v>426</v>
      </c>
      <c r="E73" s="18" t="n">
        <v>74.37700537000001</v>
      </c>
      <c r="F73" s="20" t="n">
        <v>2.33416302</v>
      </c>
      <c r="G73" s="18" t="n">
        <v>1.98671542</v>
      </c>
      <c r="H73" s="20" t="n">
        <v>0.66713314</v>
      </c>
      <c r="I73" s="18" t="n">
        <v>16.84892133</v>
      </c>
      <c r="J73" s="20" t="n">
        <v>2.3785365</v>
      </c>
      <c r="K73" s="18" t="s">
        <v>349</v>
      </c>
      <c r="L73" s="20" t="s">
        <v>349</v>
      </c>
      <c r="M73" s="18" t="n">
        <v>0</v>
      </c>
      <c r="N73" s="20" t="n">
        <v>0</v>
      </c>
      <c r="O73" s="18" t="n">
        <v>0</v>
      </c>
      <c r="P73" s="20" t="n">
        <v>0</v>
      </c>
      <c r="Q73" s="18" t="n">
        <v>0</v>
      </c>
      <c r="R73" s="20" t="n">
        <v>0</v>
      </c>
      <c r="S73" s="18" t="n">
        <v>6.78735788</v>
      </c>
      <c r="T73" s="20" t="n">
        <v>1.27291532</v>
      </c>
    </row>
    <row r="74" spans="1:20">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2406</v>
      </c>
      <c r="C75" s="18">
        <f>(2136.0/B75*100)</f>
        <v/>
      </c>
      <c r="D75" s="19" t="n">
        <v>270</v>
      </c>
      <c r="E75" s="18" t="n">
        <v>45.79589484</v>
      </c>
      <c r="F75" s="20" t="n">
        <v>2.97211594</v>
      </c>
      <c r="G75" s="18" t="n">
        <v>1.76718685</v>
      </c>
      <c r="H75" s="20" t="n">
        <v>0.8097958</v>
      </c>
      <c r="I75" s="18" t="n">
        <v>19.58407668</v>
      </c>
      <c r="J75" s="20" t="n">
        <v>2.75341294</v>
      </c>
      <c r="K75" s="18" t="s">
        <v>349</v>
      </c>
      <c r="L75" s="20" t="s">
        <v>349</v>
      </c>
      <c r="M75" s="18" t="n">
        <v>1.85424106</v>
      </c>
      <c r="N75" s="20" t="n">
        <v>0.77872177</v>
      </c>
      <c r="O75" s="18" t="n">
        <v>0.42921192</v>
      </c>
      <c r="P75" s="20" t="n">
        <v>0.42475242</v>
      </c>
      <c r="Q75" s="18" t="n">
        <v>0</v>
      </c>
      <c r="R75" s="20" t="n">
        <v>0</v>
      </c>
      <c r="S75" s="18" t="n">
        <v>30.56938865</v>
      </c>
      <c r="T75" s="20" t="n">
        <v>2.51570251</v>
      </c>
    </row>
    <row r="76" spans="1:20">
      <c r="A76" s="15" t="s">
        <v>418</v>
      </c>
      <c r="B76" s="17" t="n">
        <v>7052</v>
      </c>
      <c r="C76" s="18">
        <f>(6184.0/B76*100)</f>
        <v/>
      </c>
      <c r="D76" s="19" t="n">
        <v>868</v>
      </c>
      <c r="E76" s="18" t="n">
        <v>56.59906325</v>
      </c>
      <c r="F76" s="20" t="n">
        <v>2.32430692</v>
      </c>
      <c r="G76" s="18" t="n">
        <v>1.78757059</v>
      </c>
      <c r="H76" s="20" t="n">
        <v>0.45105106</v>
      </c>
      <c r="I76" s="18" t="n">
        <v>23.29319231</v>
      </c>
      <c r="J76" s="20" t="n">
        <v>1.91195644</v>
      </c>
      <c r="K76" s="18" t="s">
        <v>349</v>
      </c>
      <c r="L76" s="20" t="s">
        <v>349</v>
      </c>
      <c r="M76" s="18" t="n">
        <v>0.5121258</v>
      </c>
      <c r="N76" s="20" t="n">
        <v>0.26382848</v>
      </c>
      <c r="O76" s="18" t="n">
        <v>0.11056794</v>
      </c>
      <c r="P76" s="20" t="n">
        <v>0.07809496</v>
      </c>
      <c r="Q76" s="18" t="n">
        <v>0</v>
      </c>
      <c r="R76" s="20" t="n">
        <v>0</v>
      </c>
      <c r="S76" s="18" t="n">
        <v>17.6974801</v>
      </c>
      <c r="T76" s="20" t="n">
        <v>1.70891948</v>
      </c>
    </row>
    <row r="77" spans="1:20">
      <c r="A77" s="15" t="s">
        <v>419</v>
      </c>
      <c r="B77" s="17" t="n">
        <v>2908</v>
      </c>
      <c r="C77" s="18">
        <f>(2548.0/B77*100)</f>
        <v/>
      </c>
      <c r="D77" s="19" t="n">
        <v>360</v>
      </c>
      <c r="E77" s="18" t="n">
        <v>37.80502843</v>
      </c>
      <c r="F77" s="20" t="n">
        <v>2.78945555</v>
      </c>
      <c r="G77" s="18" t="n">
        <v>3.12312841</v>
      </c>
      <c r="H77" s="20" t="n">
        <v>0.93246341</v>
      </c>
      <c r="I77" s="18" t="n">
        <v>11.76913843</v>
      </c>
      <c r="J77" s="20" t="n">
        <v>1.74693316</v>
      </c>
      <c r="K77" s="18" t="s">
        <v>349</v>
      </c>
      <c r="L77" s="20" t="s">
        <v>349</v>
      </c>
      <c r="M77" s="18" t="n">
        <v>2.01769726</v>
      </c>
      <c r="N77" s="20" t="n">
        <v>0.93172767</v>
      </c>
      <c r="O77" s="18" t="n">
        <v>2.62676142</v>
      </c>
      <c r="P77" s="20" t="n">
        <v>0.8630449100000001</v>
      </c>
      <c r="Q77" s="18" t="n">
        <v>0</v>
      </c>
      <c r="R77" s="20" t="n">
        <v>0</v>
      </c>
      <c r="S77" s="18" t="n">
        <v>42.65824604</v>
      </c>
      <c r="T77" s="20" t="n">
        <v>2.52647983</v>
      </c>
    </row>
    <row r="78" spans="1:20">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4163</v>
      </c>
      <c r="C81" s="18">
        <f>(3655.0/B81*100)</f>
        <v/>
      </c>
      <c r="D81" s="19" t="n">
        <v>508</v>
      </c>
      <c r="E81" s="18" t="n">
        <v>56.13389496</v>
      </c>
      <c r="F81" s="20" t="n">
        <v>2.36197956</v>
      </c>
      <c r="G81" s="18" t="n">
        <v>2.25595614</v>
      </c>
      <c r="H81" s="20" t="n">
        <v>0.74003709</v>
      </c>
      <c r="I81" s="18" t="n">
        <v>30.77220194</v>
      </c>
      <c r="J81" s="20" t="n">
        <v>2.46639444</v>
      </c>
      <c r="K81" s="18" t="s">
        <v>349</v>
      </c>
      <c r="L81" s="20" t="s">
        <v>349</v>
      </c>
      <c r="M81" s="18" t="n">
        <v>0</v>
      </c>
      <c r="N81" s="20" t="n">
        <v>0</v>
      </c>
      <c r="O81" s="18" t="n">
        <v>0</v>
      </c>
      <c r="P81" s="20" t="n">
        <v>0</v>
      </c>
      <c r="Q81" s="18" t="n">
        <v>0</v>
      </c>
      <c r="R81" s="20" t="n">
        <v>0</v>
      </c>
      <c r="S81" s="18" t="n">
        <v>10.83794696</v>
      </c>
      <c r="T81" s="20" t="n">
        <v>1.54669996</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(6429.0/B7*100)</f>
        <v/>
      </c>
      <c r="D7" s="19" t="n">
        <v>938</v>
      </c>
      <c r="E7" s="18" t="n">
        <v>86.00894156</v>
      </c>
      <c r="F7" s="20" t="n">
        <v>1.3139694</v>
      </c>
      <c r="G7" s="18" t="n">
        <v>7.37250727</v>
      </c>
      <c r="H7" s="20" t="n">
        <v>0.98091524</v>
      </c>
      <c r="I7" s="18" t="s">
        <v>349</v>
      </c>
      <c r="J7" s="20" t="s">
        <v>349</v>
      </c>
      <c r="K7" s="18" t="n">
        <v>0.61884432</v>
      </c>
      <c r="L7" s="20" t="n">
        <v>0.32229821</v>
      </c>
      <c r="M7" s="18" t="n">
        <v>0</v>
      </c>
      <c r="N7" s="20" t="n">
        <v>0</v>
      </c>
      <c r="O7" s="18" t="n">
        <v>0</v>
      </c>
      <c r="P7" s="20" t="n">
        <v>0</v>
      </c>
      <c r="Q7" s="18" t="n">
        <v>5.99970684</v>
      </c>
      <c r="R7" s="20" t="n">
        <v>0.84643234</v>
      </c>
    </row>
    <row r="8" spans="1:18">
      <c r="A8" s="15" t="s">
        <v>350</v>
      </c>
      <c r="B8" s="17" t="n">
        <v>3564</v>
      </c>
      <c r="C8" s="18">
        <f>(3126.0/B8*100)</f>
        <v/>
      </c>
      <c r="D8" s="19" t="n">
        <v>438</v>
      </c>
      <c r="E8" s="18" t="n">
        <v>83.28843821</v>
      </c>
      <c r="F8" s="20" t="n">
        <v>1.8725265</v>
      </c>
      <c r="G8" s="18" t="n">
        <v>9.015388789999999</v>
      </c>
      <c r="H8" s="20" t="n">
        <v>1.25239846</v>
      </c>
      <c r="I8" s="18" t="s">
        <v>349</v>
      </c>
      <c r="J8" s="20" t="s">
        <v>349</v>
      </c>
      <c r="K8" s="18" t="n">
        <v>0.23876583</v>
      </c>
      <c r="L8" s="20" t="n">
        <v>0.33678383</v>
      </c>
      <c r="M8" s="18" t="n">
        <v>0</v>
      </c>
      <c r="N8" s="20" t="n">
        <v>0</v>
      </c>
      <c r="O8" s="18" t="n">
        <v>0</v>
      </c>
      <c r="P8" s="20" t="n">
        <v>0</v>
      </c>
      <c r="Q8" s="18" t="n">
        <v>7.45740718</v>
      </c>
      <c r="R8" s="20" t="n">
        <v>1.20531773</v>
      </c>
    </row>
    <row r="9" spans="1:18">
      <c r="A9" s="15" t="s">
        <v>351</v>
      </c>
      <c r="B9" s="17" t="n">
        <v>4899</v>
      </c>
      <c r="C9" s="18">
        <f>(4330.0/B9*100)</f>
        <v/>
      </c>
      <c r="D9" s="19" t="n">
        <v>569</v>
      </c>
      <c r="E9" s="18" t="n">
        <v>83.61989831</v>
      </c>
      <c r="F9" s="20" t="n">
        <v>1.5311045</v>
      </c>
      <c r="G9" s="18" t="n">
        <v>11.78302151</v>
      </c>
      <c r="H9" s="20" t="n">
        <v>1.33312524</v>
      </c>
      <c r="I9" s="18" t="s">
        <v>349</v>
      </c>
      <c r="J9" s="20" t="s">
        <v>349</v>
      </c>
      <c r="K9" s="18" t="n">
        <v>0.50745369</v>
      </c>
      <c r="L9" s="20" t="n">
        <v>0.3190592</v>
      </c>
      <c r="M9" s="18" t="n">
        <v>0</v>
      </c>
      <c r="N9" s="20" t="n">
        <v>0</v>
      </c>
      <c r="O9" s="18" t="n">
        <v>0</v>
      </c>
      <c r="P9" s="20" t="n">
        <v>0</v>
      </c>
      <c r="Q9" s="18" t="n">
        <v>4.0896265</v>
      </c>
      <c r="R9" s="20" t="n">
        <v>0.86028391</v>
      </c>
    </row>
    <row r="10" spans="1:18">
      <c r="A10" s="15" t="s">
        <v>352</v>
      </c>
      <c r="B10" s="17" t="n">
        <v>10036</v>
      </c>
      <c r="C10" s="18">
        <f>(8808.0/B10*100)</f>
        <v/>
      </c>
      <c r="D10" s="19" t="n">
        <v>1228</v>
      </c>
      <c r="E10" s="18" t="n">
        <v>88.08385833</v>
      </c>
      <c r="F10" s="20" t="n">
        <v>1.37709468</v>
      </c>
      <c r="G10" s="18" t="n">
        <v>7.57464956</v>
      </c>
      <c r="H10" s="20" t="n">
        <v>0.99900397</v>
      </c>
      <c r="I10" s="18" t="s">
        <v>349</v>
      </c>
      <c r="J10" s="20" t="s">
        <v>349</v>
      </c>
      <c r="K10" s="18" t="n">
        <v>0.30663718</v>
      </c>
      <c r="L10" s="20" t="n">
        <v>0.12753837</v>
      </c>
      <c r="M10" s="18" t="n">
        <v>0</v>
      </c>
      <c r="N10" s="20" t="n">
        <v>0</v>
      </c>
      <c r="O10" s="18" t="n">
        <v>0</v>
      </c>
      <c r="P10" s="20" t="n">
        <v>0</v>
      </c>
      <c r="Q10" s="18" t="n">
        <v>4.03485492</v>
      </c>
      <c r="R10" s="20" t="n">
        <v>0.76734653</v>
      </c>
    </row>
    <row r="11" spans="1:18">
      <c r="A11" s="15" t="s">
        <v>353</v>
      </c>
      <c r="B11" s="17" t="n">
        <v>3553</v>
      </c>
      <c r="C11" s="18">
        <f>(3139.0/B11*100)</f>
        <v/>
      </c>
      <c r="D11" s="19" t="n">
        <v>414</v>
      </c>
      <c r="E11" s="18" t="n">
        <v>88.84081094</v>
      </c>
      <c r="F11" s="20" t="n">
        <v>2.13486186</v>
      </c>
      <c r="G11" s="18" t="n">
        <v>1.04395898</v>
      </c>
      <c r="H11" s="20" t="n">
        <v>0.43663835</v>
      </c>
      <c r="I11" s="18" t="s">
        <v>349</v>
      </c>
      <c r="J11" s="20" t="s">
        <v>349</v>
      </c>
      <c r="K11" s="18" t="n">
        <v>0.47625339</v>
      </c>
      <c r="L11" s="20" t="n">
        <v>0.04967437</v>
      </c>
      <c r="M11" s="18" t="n">
        <v>0</v>
      </c>
      <c r="N11" s="20" t="n">
        <v>0</v>
      </c>
      <c r="O11" s="18" t="n">
        <v>0</v>
      </c>
      <c r="P11" s="20" t="n">
        <v>0</v>
      </c>
      <c r="Q11" s="18" t="n">
        <v>9.63897669</v>
      </c>
      <c r="R11" s="20" t="n">
        <v>2.08632049</v>
      </c>
    </row>
    <row r="12" spans="1:18">
      <c r="A12" s="15" t="s">
        <v>354</v>
      </c>
      <c r="B12" s="17" t="n">
        <v>3472</v>
      </c>
      <c r="C12" s="18">
        <f>(3044.0/B12*100)</f>
        <v/>
      </c>
      <c r="D12" s="19" t="n">
        <v>428</v>
      </c>
      <c r="E12" s="18" t="n">
        <v>85.68404133</v>
      </c>
      <c r="F12" s="20" t="n">
        <v>2.28434077</v>
      </c>
      <c r="G12" s="18" t="n">
        <v>8.95568413</v>
      </c>
      <c r="H12" s="20" t="n">
        <v>1.79564182</v>
      </c>
      <c r="I12" s="18" t="s">
        <v>349</v>
      </c>
      <c r="J12" s="20" t="s">
        <v>349</v>
      </c>
      <c r="K12" s="18" t="n">
        <v>0</v>
      </c>
      <c r="L12" s="20" t="n">
        <v>0</v>
      </c>
      <c r="M12" s="18" t="n">
        <v>0</v>
      </c>
      <c r="N12" s="20" t="n">
        <v>0</v>
      </c>
      <c r="O12" s="18" t="n">
        <v>0</v>
      </c>
      <c r="P12" s="20" t="n">
        <v>0</v>
      </c>
      <c r="Q12" s="18" t="n">
        <v>5.36027454</v>
      </c>
      <c r="R12" s="20" t="n">
        <v>1.43072907</v>
      </c>
    </row>
    <row r="13" spans="1:18">
      <c r="A13" s="15" t="s">
        <v>355</v>
      </c>
      <c r="B13" s="17" t="n">
        <v>3559</v>
      </c>
      <c r="C13" s="18">
        <f>(3155.0/B13*100)</f>
        <v/>
      </c>
      <c r="D13" s="19" t="n">
        <v>404</v>
      </c>
      <c r="E13" s="18" t="n">
        <v>87.7919261</v>
      </c>
      <c r="F13" s="20" t="n">
        <v>2.0561909</v>
      </c>
      <c r="G13" s="18" t="n">
        <v>9.77124411</v>
      </c>
      <c r="H13" s="20" t="n">
        <v>1.89211475</v>
      </c>
      <c r="I13" s="18" t="s">
        <v>349</v>
      </c>
      <c r="J13" s="20" t="s">
        <v>349</v>
      </c>
      <c r="K13" s="18" t="n">
        <v>0.07979571000000001</v>
      </c>
      <c r="L13" s="20" t="n">
        <v>0.08025084</v>
      </c>
      <c r="M13" s="18" t="n">
        <v>0</v>
      </c>
      <c r="N13" s="20" t="n">
        <v>0</v>
      </c>
      <c r="O13" s="18" t="n">
        <v>0</v>
      </c>
      <c r="P13" s="20" t="n">
        <v>0</v>
      </c>
      <c r="Q13" s="18" t="n">
        <v>2.35703408</v>
      </c>
      <c r="R13" s="20" t="n">
        <v>0.95756441</v>
      </c>
    </row>
    <row r="14" spans="1:18">
      <c r="A14" s="15" t="s">
        <v>356</v>
      </c>
      <c r="B14" s="17" t="n">
        <v>2799</v>
      </c>
      <c r="C14" s="18">
        <f>(2450.0/B14*100)</f>
        <v/>
      </c>
      <c r="D14" s="19" t="n">
        <v>349</v>
      </c>
      <c r="E14" s="18" t="n">
        <v>85.87212722</v>
      </c>
      <c r="F14" s="20" t="n">
        <v>2.45118766</v>
      </c>
      <c r="G14" s="18" t="n">
        <v>8.696750529999999</v>
      </c>
      <c r="H14" s="20" t="n">
        <v>1.77220983</v>
      </c>
      <c r="I14" s="18" t="s">
        <v>349</v>
      </c>
      <c r="J14" s="20" t="s">
        <v>349</v>
      </c>
      <c r="K14" s="18" t="n">
        <v>0</v>
      </c>
      <c r="L14" s="20" t="n">
        <v>0</v>
      </c>
      <c r="M14" s="18" t="n">
        <v>0</v>
      </c>
      <c r="N14" s="20" t="n">
        <v>0</v>
      </c>
      <c r="O14" s="18" t="n">
        <v>0</v>
      </c>
      <c r="P14" s="20" t="n">
        <v>0</v>
      </c>
      <c r="Q14" s="18" t="n">
        <v>5.43112225</v>
      </c>
      <c r="R14" s="20" t="n">
        <v>1.57197099</v>
      </c>
    </row>
    <row r="15" spans="1:18">
      <c r="A15" s="15" t="s">
        <v>357</v>
      </c>
      <c r="B15" s="17" t="n">
        <v>3019</v>
      </c>
      <c r="C15" s="18">
        <f>(2647.0/B15*100)</f>
        <v/>
      </c>
      <c r="D15" s="19" t="n">
        <v>372</v>
      </c>
      <c r="E15" s="18" t="n">
        <v>87.83473526</v>
      </c>
      <c r="F15" s="20" t="n">
        <v>1.70912228</v>
      </c>
      <c r="G15" s="18" t="n">
        <v>6.50700631</v>
      </c>
      <c r="H15" s="20" t="n">
        <v>1.40985498</v>
      </c>
      <c r="I15" s="18" t="s">
        <v>349</v>
      </c>
      <c r="J15" s="20" t="s">
        <v>349</v>
      </c>
      <c r="K15" s="18" t="n">
        <v>0.8011189</v>
      </c>
      <c r="L15" s="20" t="n">
        <v>0.45754293</v>
      </c>
      <c r="M15" s="18" t="n">
        <v>0</v>
      </c>
      <c r="N15" s="20" t="n">
        <v>0</v>
      </c>
      <c r="O15" s="18" t="n">
        <v>0</v>
      </c>
      <c r="P15" s="20" t="n">
        <v>0</v>
      </c>
      <c r="Q15" s="18" t="n">
        <v>4.85713952</v>
      </c>
      <c r="R15" s="20" t="n">
        <v>1.25812456</v>
      </c>
    </row>
    <row r="16" spans="1:18">
      <c r="A16" s="15" t="s">
        <v>358</v>
      </c>
      <c r="B16" s="17" t="n">
        <v>2997</v>
      </c>
      <c r="C16" s="18">
        <f>(2643.0/B16*100)</f>
        <v/>
      </c>
      <c r="D16" s="19" t="n">
        <v>354</v>
      </c>
      <c r="E16" s="18" t="n">
        <v>85.87579144</v>
      </c>
      <c r="F16" s="20" t="n">
        <v>1.50866287</v>
      </c>
      <c r="G16" s="18" t="n">
        <v>6.72883992</v>
      </c>
      <c r="H16" s="20" t="n">
        <v>1.29120783</v>
      </c>
      <c r="I16" s="18" t="s">
        <v>349</v>
      </c>
      <c r="J16" s="20" t="s">
        <v>349</v>
      </c>
      <c r="K16" s="18" t="n">
        <v>1.64298081</v>
      </c>
      <c r="L16" s="20" t="n">
        <v>0.63613671</v>
      </c>
      <c r="M16" s="18" t="n">
        <v>0</v>
      </c>
      <c r="N16" s="20" t="n">
        <v>0</v>
      </c>
      <c r="O16" s="18" t="n">
        <v>0</v>
      </c>
      <c r="P16" s="20" t="n">
        <v>0</v>
      </c>
      <c r="Q16" s="18" t="n">
        <v>5.75238783</v>
      </c>
      <c r="R16" s="20" t="n">
        <v>0.98533814</v>
      </c>
    </row>
    <row r="17" spans="1:18">
      <c r="A17" s="15" t="s">
        <v>359</v>
      </c>
      <c r="B17" s="17" t="n">
        <v>3307</v>
      </c>
      <c r="C17" s="18">
        <f>(2925.0/B17*100)</f>
        <v/>
      </c>
      <c r="D17" s="19" t="n">
        <v>382</v>
      </c>
      <c r="E17" s="18" t="n">
        <v>83.27197676999999</v>
      </c>
      <c r="F17" s="20" t="n">
        <v>2.02370127</v>
      </c>
      <c r="G17" s="18" t="n">
        <v>8.89864202</v>
      </c>
      <c r="H17" s="20" t="n">
        <v>1.52622469</v>
      </c>
      <c r="I17" s="18" t="s">
        <v>349</v>
      </c>
      <c r="J17" s="20" t="s">
        <v>349</v>
      </c>
      <c r="K17" s="18" t="n">
        <v>0.72115598</v>
      </c>
      <c r="L17" s="20" t="n">
        <v>0.47936079</v>
      </c>
      <c r="M17" s="18" t="n">
        <v>0</v>
      </c>
      <c r="N17" s="20" t="n">
        <v>0</v>
      </c>
      <c r="O17" s="18" t="n">
        <v>0</v>
      </c>
      <c r="P17" s="20" t="n">
        <v>0</v>
      </c>
      <c r="Q17" s="18" t="n">
        <v>7.10822523</v>
      </c>
      <c r="R17" s="20" t="n">
        <v>1.27652285</v>
      </c>
    </row>
    <row r="18" spans="1:18">
      <c r="A18" s="15" t="s">
        <v>360</v>
      </c>
      <c r="B18" s="17" t="n">
        <v>2826</v>
      </c>
      <c r="C18" s="18">
        <f>(2479.0/B18*100)</f>
        <v/>
      </c>
      <c r="D18" s="19" t="n">
        <v>347</v>
      </c>
      <c r="E18" s="18" t="n">
        <v>89.24478374</v>
      </c>
      <c r="F18" s="20" t="n">
        <v>1.77386254</v>
      </c>
      <c r="G18" s="18" t="n">
        <v>1.63757096</v>
      </c>
      <c r="H18" s="20" t="n">
        <v>0.8229347</v>
      </c>
      <c r="I18" s="18" t="s">
        <v>349</v>
      </c>
      <c r="J18" s="20" t="s">
        <v>349</v>
      </c>
      <c r="K18" s="18" t="n">
        <v>1.67721574</v>
      </c>
      <c r="L18" s="20" t="n">
        <v>0.85698464</v>
      </c>
      <c r="M18" s="18" t="n">
        <v>0</v>
      </c>
      <c r="N18" s="20" t="n">
        <v>0</v>
      </c>
      <c r="O18" s="18" t="n">
        <v>0</v>
      </c>
      <c r="P18" s="20" t="n">
        <v>0</v>
      </c>
      <c r="Q18" s="18" t="n">
        <v>7.44042956</v>
      </c>
      <c r="R18" s="20" t="n">
        <v>1.52241181</v>
      </c>
    </row>
    <row r="19" spans="1:18">
      <c r="A19" s="15" t="s">
        <v>361</v>
      </c>
      <c r="B19" s="17" t="n">
        <v>2808</v>
      </c>
      <c r="C19" s="18">
        <f>(2455.0/B19*100)</f>
        <v/>
      </c>
      <c r="D19" s="19" t="n">
        <v>353</v>
      </c>
      <c r="E19" s="18" t="n">
        <v>91.18747729</v>
      </c>
      <c r="F19" s="20" t="n">
        <v>1.61271406</v>
      </c>
      <c r="G19" s="18" t="n">
        <v>5.39426929</v>
      </c>
      <c r="H19" s="20" t="n">
        <v>1.37722245</v>
      </c>
      <c r="I19" s="18" t="s">
        <v>349</v>
      </c>
      <c r="J19" s="20" t="s">
        <v>349</v>
      </c>
      <c r="K19" s="18" t="n">
        <v>0</v>
      </c>
      <c r="L19" s="20" t="n">
        <v>0</v>
      </c>
      <c r="M19" s="18" t="n">
        <v>0</v>
      </c>
      <c r="N19" s="20" t="n">
        <v>0</v>
      </c>
      <c r="O19" s="18" t="n">
        <v>0</v>
      </c>
      <c r="P19" s="20" t="n">
        <v>0</v>
      </c>
      <c r="Q19" s="18" t="n">
        <v>3.41825342</v>
      </c>
      <c r="R19" s="20" t="n">
        <v>1.04482202</v>
      </c>
    </row>
    <row r="20" spans="1:18">
      <c r="A20" s="15" t="s">
        <v>362</v>
      </c>
      <c r="B20" s="17" t="n">
        <v>1630</v>
      </c>
      <c r="C20" s="18">
        <f>(1436.0/B20*100)</f>
        <v/>
      </c>
      <c r="D20" s="19" t="n">
        <v>194</v>
      </c>
      <c r="E20" s="18" t="n">
        <v>84.19417765999999</v>
      </c>
      <c r="F20" s="20" t="n">
        <v>2.85814717</v>
      </c>
      <c r="G20" s="18" t="n">
        <v>10.07567631</v>
      </c>
      <c r="H20" s="20" t="n">
        <v>2.27985279</v>
      </c>
      <c r="I20" s="18" t="s">
        <v>349</v>
      </c>
      <c r="J20" s="20" t="s">
        <v>349</v>
      </c>
      <c r="K20" s="18" t="n">
        <v>1.50695295</v>
      </c>
      <c r="L20" s="20" t="n">
        <v>0.82907616</v>
      </c>
      <c r="M20" s="18" t="n">
        <v>0</v>
      </c>
      <c r="N20" s="20" t="n">
        <v>0</v>
      </c>
      <c r="O20" s="18" t="n">
        <v>0</v>
      </c>
      <c r="P20" s="20" t="n">
        <v>0</v>
      </c>
      <c r="Q20" s="18" t="n">
        <v>4.22319308</v>
      </c>
      <c r="R20" s="20" t="n">
        <v>1.54100862</v>
      </c>
    </row>
    <row r="21" spans="1:18">
      <c r="A21" s="15" t="s">
        <v>363</v>
      </c>
      <c r="B21" s="17" t="n">
        <v>2908</v>
      </c>
      <c r="C21" s="18">
        <f>(2401.0/B21*100)</f>
        <v/>
      </c>
      <c r="D21" s="19" t="n">
        <v>507</v>
      </c>
      <c r="E21" s="18" t="n">
        <v>90.76947364</v>
      </c>
      <c r="F21" s="20" t="n">
        <v>1.30401862</v>
      </c>
      <c r="G21" s="18" t="n">
        <v>5.3224437</v>
      </c>
      <c r="H21" s="20" t="n">
        <v>1.03285127</v>
      </c>
      <c r="I21" s="18" t="s">
        <v>349</v>
      </c>
      <c r="J21" s="20" t="s">
        <v>349</v>
      </c>
      <c r="K21" s="18" t="n">
        <v>0.30378904</v>
      </c>
      <c r="L21" s="20" t="n">
        <v>0.21495603</v>
      </c>
      <c r="M21" s="18" t="n">
        <v>0</v>
      </c>
      <c r="N21" s="20" t="n">
        <v>0</v>
      </c>
      <c r="O21" s="18" t="n">
        <v>0</v>
      </c>
      <c r="P21" s="20" t="n">
        <v>0</v>
      </c>
      <c r="Q21" s="18" t="n">
        <v>3.60429363</v>
      </c>
      <c r="R21" s="20" t="n">
        <v>0.82307209</v>
      </c>
    </row>
    <row r="22" spans="1:18">
      <c r="A22" s="15" t="s">
        <v>364</v>
      </c>
      <c r="B22" s="17" t="n">
        <v>2931</v>
      </c>
      <c r="C22" s="18">
        <f>(2581.0/B22*100)</f>
        <v/>
      </c>
      <c r="D22" s="19" t="n">
        <v>350</v>
      </c>
      <c r="E22" s="18" t="n">
        <v>88.19898496</v>
      </c>
      <c r="F22" s="20" t="n">
        <v>1.90701241</v>
      </c>
      <c r="G22" s="18" t="n">
        <v>3.44377189</v>
      </c>
      <c r="H22" s="20" t="n">
        <v>1.00688545</v>
      </c>
      <c r="I22" s="18" t="s">
        <v>349</v>
      </c>
      <c r="J22" s="20" t="s">
        <v>349</v>
      </c>
      <c r="K22" s="18" t="n">
        <v>1.13624663</v>
      </c>
      <c r="L22" s="20" t="n">
        <v>0.68203273</v>
      </c>
      <c r="M22" s="18" t="n">
        <v>0</v>
      </c>
      <c r="N22" s="20" t="n">
        <v>0</v>
      </c>
      <c r="O22" s="18" t="n">
        <v>0</v>
      </c>
      <c r="P22" s="20" t="n">
        <v>0</v>
      </c>
      <c r="Q22" s="18" t="n">
        <v>7.22099651</v>
      </c>
      <c r="R22" s="20" t="n">
        <v>1.6515772</v>
      </c>
    </row>
    <row r="23" spans="1:18">
      <c r="A23" s="15" t="s">
        <v>365</v>
      </c>
      <c r="B23" s="17" t="n">
        <v>5791</v>
      </c>
      <c r="C23" s="18">
        <f>(5092.0/B23*100)</f>
        <v/>
      </c>
      <c r="D23" s="19" t="n">
        <v>699</v>
      </c>
      <c r="E23" s="18" t="n">
        <v>85.03867912</v>
      </c>
      <c r="F23" s="20" t="n">
        <v>2.03072422</v>
      </c>
      <c r="G23" s="18" t="n">
        <v>5.79733972</v>
      </c>
      <c r="H23" s="20" t="n">
        <v>1.01893252</v>
      </c>
      <c r="I23" s="18" t="s">
        <v>349</v>
      </c>
      <c r="J23" s="20" t="s">
        <v>349</v>
      </c>
      <c r="K23" s="18" t="n">
        <v>0.80789081</v>
      </c>
      <c r="L23" s="20" t="n">
        <v>0.46856937</v>
      </c>
      <c r="M23" s="18" t="n">
        <v>0</v>
      </c>
      <c r="N23" s="20" t="n">
        <v>0</v>
      </c>
      <c r="O23" s="18" t="n">
        <v>0</v>
      </c>
      <c r="P23" s="20" t="n">
        <v>0</v>
      </c>
      <c r="Q23" s="18" t="n">
        <v>8.356090350000001</v>
      </c>
      <c r="R23" s="20" t="n">
        <v>1.81067964</v>
      </c>
    </row>
    <row r="24" spans="1:18">
      <c r="A24" s="15" t="s">
        <v>366</v>
      </c>
      <c r="B24" s="17" t="n">
        <v>3338</v>
      </c>
      <c r="C24" s="18">
        <f>(2938.0/B24*100)</f>
        <v/>
      </c>
      <c r="D24" s="19" t="n">
        <v>400</v>
      </c>
      <c r="E24" s="18" t="n">
        <v>69.21331382</v>
      </c>
      <c r="F24" s="20" t="n">
        <v>2.60288058</v>
      </c>
      <c r="G24" s="18" t="n">
        <v>24.19744069</v>
      </c>
      <c r="H24" s="20" t="n">
        <v>2.33174844</v>
      </c>
      <c r="I24" s="18" t="s">
        <v>349</v>
      </c>
      <c r="J24" s="20" t="s">
        <v>349</v>
      </c>
      <c r="K24" s="18" t="n">
        <v>0.17720359</v>
      </c>
      <c r="L24" s="20" t="n">
        <v>0.17756785</v>
      </c>
      <c r="M24" s="18" t="n">
        <v>0</v>
      </c>
      <c r="N24" s="20" t="n">
        <v>0</v>
      </c>
      <c r="O24" s="18" t="n">
        <v>0</v>
      </c>
      <c r="P24" s="20" t="n">
        <v>0</v>
      </c>
      <c r="Q24" s="18" t="n">
        <v>6.4120419</v>
      </c>
      <c r="R24" s="20" t="n">
        <v>1.17707164</v>
      </c>
    </row>
    <row r="25" spans="1:18">
      <c r="A25" s="15" t="s">
        <v>367</v>
      </c>
      <c r="B25" s="17" t="n">
        <v>2912</v>
      </c>
      <c r="C25" s="18">
        <f>(2539.0/B25*100)</f>
        <v/>
      </c>
      <c r="D25" s="19" t="n">
        <v>373</v>
      </c>
      <c r="E25" s="18" t="n">
        <v>83.38539518</v>
      </c>
      <c r="F25" s="20" t="n">
        <v>1.96411641</v>
      </c>
      <c r="G25" s="18" t="n">
        <v>11.50404137</v>
      </c>
      <c r="H25" s="20" t="n">
        <v>1.60586777</v>
      </c>
      <c r="I25" s="18" t="s">
        <v>349</v>
      </c>
      <c r="J25" s="20" t="s">
        <v>349</v>
      </c>
      <c r="K25" s="18" t="n">
        <v>1.63369428</v>
      </c>
      <c r="L25" s="20" t="n">
        <v>0.67118036</v>
      </c>
      <c r="M25" s="18" t="n">
        <v>0</v>
      </c>
      <c r="N25" s="20" t="n">
        <v>0</v>
      </c>
      <c r="O25" s="18" t="n">
        <v>0</v>
      </c>
      <c r="P25" s="20" t="n">
        <v>0</v>
      </c>
      <c r="Q25" s="18" t="n">
        <v>3.47686917</v>
      </c>
      <c r="R25" s="20" t="n">
        <v>1.01080192</v>
      </c>
    </row>
    <row r="26" spans="1:18">
      <c r="A26" s="15" t="s">
        <v>368</v>
      </c>
      <c r="B26" s="17" t="n">
        <v>2450</v>
      </c>
      <c r="C26" s="18">
        <f>(2135.0/B26*100)</f>
        <v/>
      </c>
      <c r="D26" s="19" t="n">
        <v>315</v>
      </c>
      <c r="E26" s="18" t="n">
        <v>92.05463159999999</v>
      </c>
      <c r="F26" s="20" t="n">
        <v>1.42954565</v>
      </c>
      <c r="G26" s="18" t="n">
        <v>4.61781151</v>
      </c>
      <c r="H26" s="20" t="n">
        <v>1.17680357</v>
      </c>
      <c r="I26" s="18" t="s">
        <v>349</v>
      </c>
      <c r="J26" s="20" t="s">
        <v>349</v>
      </c>
      <c r="K26" s="18" t="n">
        <v>0.29533536</v>
      </c>
      <c r="L26" s="20" t="n">
        <v>0.30221065</v>
      </c>
      <c r="M26" s="18" t="n">
        <v>0</v>
      </c>
      <c r="N26" s="20" t="n">
        <v>0</v>
      </c>
      <c r="O26" s="18" t="n">
        <v>0</v>
      </c>
      <c r="P26" s="20" t="n">
        <v>0</v>
      </c>
      <c r="Q26" s="18" t="n">
        <v>3.03222154</v>
      </c>
      <c r="R26" s="20" t="n">
        <v>0.90593946</v>
      </c>
    </row>
    <row r="27" spans="1:18">
      <c r="A27" s="15" t="s">
        <v>369</v>
      </c>
      <c r="B27" s="17" t="n">
        <v>2616</v>
      </c>
      <c r="C27" s="18">
        <f>(2306.0/B27*100)</f>
        <v/>
      </c>
      <c r="D27" s="19" t="n">
        <v>310</v>
      </c>
      <c r="E27" s="18" t="n">
        <v>88.14035333</v>
      </c>
      <c r="F27" s="20" t="n">
        <v>1.75456179</v>
      </c>
      <c r="G27" s="18" t="n">
        <v>7.35586552</v>
      </c>
      <c r="H27" s="20" t="n">
        <v>1.31198596</v>
      </c>
      <c r="I27" s="18" t="s">
        <v>349</v>
      </c>
      <c r="J27" s="20" t="s">
        <v>349</v>
      </c>
      <c r="K27" s="18" t="n">
        <v>0.64474451</v>
      </c>
      <c r="L27" s="20" t="n">
        <v>0.45310908</v>
      </c>
      <c r="M27" s="18" t="n">
        <v>0</v>
      </c>
      <c r="N27" s="20" t="n">
        <v>0</v>
      </c>
      <c r="O27" s="18" t="n">
        <v>0</v>
      </c>
      <c r="P27" s="20" t="n">
        <v>0</v>
      </c>
      <c r="Q27" s="18" t="n">
        <v>3.85903665</v>
      </c>
      <c r="R27" s="20" t="n">
        <v>1.30444573</v>
      </c>
    </row>
    <row r="28" spans="1:18">
      <c r="A28" s="15" t="s">
        <v>370</v>
      </c>
      <c r="B28" s="17" t="n">
        <v>3765</v>
      </c>
      <c r="C28" s="18">
        <f>(3292.0/B28*100)</f>
        <v/>
      </c>
      <c r="D28" s="19" t="n">
        <v>473</v>
      </c>
      <c r="E28" s="18" t="n">
        <v>93.10195632999999</v>
      </c>
      <c r="F28" s="20" t="n">
        <v>1.60294033</v>
      </c>
      <c r="G28" s="18" t="n">
        <v>1.93555283</v>
      </c>
      <c r="H28" s="20" t="n">
        <v>0.703866</v>
      </c>
      <c r="I28" s="18" t="s">
        <v>349</v>
      </c>
      <c r="J28" s="20" t="s">
        <v>349</v>
      </c>
      <c r="K28" s="18" t="n">
        <v>1.43602627</v>
      </c>
      <c r="L28" s="20" t="n">
        <v>0.7142395499999999</v>
      </c>
      <c r="M28" s="18" t="n">
        <v>0</v>
      </c>
      <c r="N28" s="20" t="n">
        <v>0</v>
      </c>
      <c r="O28" s="18" t="n">
        <v>0</v>
      </c>
      <c r="P28" s="20" t="n">
        <v>0</v>
      </c>
      <c r="Q28" s="18" t="n">
        <v>3.52646457</v>
      </c>
      <c r="R28" s="20" t="n">
        <v>1.17610054</v>
      </c>
    </row>
    <row r="29" spans="1:18">
      <c r="A29" s="15" t="s">
        <v>371</v>
      </c>
      <c r="B29" s="17" t="n">
        <v>2685</v>
      </c>
      <c r="C29" s="18">
        <f>(2352.0/B29*100)</f>
        <v/>
      </c>
      <c r="D29" s="19" t="n">
        <v>333</v>
      </c>
      <c r="E29" s="18" t="n">
        <v>85.61091059</v>
      </c>
      <c r="F29" s="20" t="n">
        <v>1.87485892</v>
      </c>
      <c r="G29" s="18" t="n">
        <v>10.41325035</v>
      </c>
      <c r="H29" s="20" t="n">
        <v>1.54799961</v>
      </c>
      <c r="I29" s="18" t="s">
        <v>349</v>
      </c>
      <c r="J29" s="20" t="s">
        <v>349</v>
      </c>
      <c r="K29" s="18" t="n">
        <v>0.70191518</v>
      </c>
      <c r="L29" s="20" t="n">
        <v>0.46673913</v>
      </c>
      <c r="M29" s="18" t="n">
        <v>0</v>
      </c>
      <c r="N29" s="20" t="n">
        <v>0</v>
      </c>
      <c r="O29" s="18" t="n">
        <v>0</v>
      </c>
      <c r="P29" s="20" t="n">
        <v>0</v>
      </c>
      <c r="Q29" s="18" t="n">
        <v>3.27392389</v>
      </c>
      <c r="R29" s="20" t="n">
        <v>0.98122411</v>
      </c>
    </row>
    <row r="30" spans="1:18">
      <c r="A30" s="15" t="s">
        <v>372</v>
      </c>
      <c r="B30" s="17" t="n">
        <v>2263</v>
      </c>
      <c r="C30" s="18">
        <f>(2002.0/B30*100)</f>
        <v/>
      </c>
      <c r="D30" s="19" t="n">
        <v>261</v>
      </c>
      <c r="E30" s="18" t="n">
        <v>84.45469362999999</v>
      </c>
      <c r="F30" s="20" t="n">
        <v>1.95666687</v>
      </c>
      <c r="G30" s="18" t="n">
        <v>8.303339920000001</v>
      </c>
      <c r="H30" s="20" t="n">
        <v>1.49070583</v>
      </c>
      <c r="I30" s="18" t="s">
        <v>349</v>
      </c>
      <c r="J30" s="20" t="s">
        <v>349</v>
      </c>
      <c r="K30" s="18" t="n">
        <v>0.42704636</v>
      </c>
      <c r="L30" s="20" t="n">
        <v>0.41108925</v>
      </c>
      <c r="M30" s="18" t="n">
        <v>0</v>
      </c>
      <c r="N30" s="20" t="n">
        <v>0</v>
      </c>
      <c r="O30" s="18" t="n">
        <v>0</v>
      </c>
      <c r="P30" s="20" t="n">
        <v>0</v>
      </c>
      <c r="Q30" s="18" t="n">
        <v>6.81492008</v>
      </c>
      <c r="R30" s="20" t="n">
        <v>1.49977234</v>
      </c>
    </row>
    <row r="31" spans="1:18">
      <c r="A31" s="15" t="s">
        <v>373</v>
      </c>
      <c r="B31" s="17" t="n">
        <v>2750</v>
      </c>
      <c r="C31" s="18">
        <f>(2423.0/B31*100)</f>
        <v/>
      </c>
      <c r="D31" s="19" t="n">
        <v>327</v>
      </c>
      <c r="E31" s="18" t="n">
        <v>79.68249045</v>
      </c>
      <c r="F31" s="20" t="n">
        <v>2.31511086</v>
      </c>
      <c r="G31" s="18" t="n">
        <v>10.73504066</v>
      </c>
      <c r="H31" s="20" t="n">
        <v>1.74244179</v>
      </c>
      <c r="I31" s="18" t="s">
        <v>349</v>
      </c>
      <c r="J31" s="20" t="s">
        <v>349</v>
      </c>
      <c r="K31" s="18" t="n">
        <v>1.21850382</v>
      </c>
      <c r="L31" s="20" t="n">
        <v>0.60651381</v>
      </c>
      <c r="M31" s="18" t="n">
        <v>0</v>
      </c>
      <c r="N31" s="20" t="n">
        <v>0</v>
      </c>
      <c r="O31" s="18" t="n">
        <v>0</v>
      </c>
      <c r="P31" s="20" t="n">
        <v>0</v>
      </c>
      <c r="Q31" s="18" t="n">
        <v>8.36396508</v>
      </c>
      <c r="R31" s="20" t="n">
        <v>1.6414953</v>
      </c>
    </row>
    <row r="32" spans="1:18">
      <c r="A32" s="15" t="s">
        <v>374</v>
      </c>
      <c r="B32" s="17" t="n">
        <v>2269</v>
      </c>
      <c r="C32" s="18">
        <f>(1890.0/B32*100)</f>
        <v/>
      </c>
      <c r="D32" s="19" t="n">
        <v>379</v>
      </c>
      <c r="E32" s="18" t="n">
        <v>82.63342067000001</v>
      </c>
      <c r="F32" s="20" t="n">
        <v>2.08637635</v>
      </c>
      <c r="G32" s="18" t="n">
        <v>12.82986062</v>
      </c>
      <c r="H32" s="20" t="n">
        <v>1.98410179</v>
      </c>
      <c r="I32" s="18" t="s">
        <v>349</v>
      </c>
      <c r="J32" s="20" t="s">
        <v>349</v>
      </c>
      <c r="K32" s="18" t="n">
        <v>0</v>
      </c>
      <c r="L32" s="20" t="n">
        <v>0</v>
      </c>
      <c r="M32" s="18" t="n">
        <v>0</v>
      </c>
      <c r="N32" s="20" t="n">
        <v>0</v>
      </c>
      <c r="O32" s="18" t="n">
        <v>0</v>
      </c>
      <c r="P32" s="20" t="n">
        <v>0</v>
      </c>
      <c r="Q32" s="18" t="n">
        <v>4.53671871</v>
      </c>
      <c r="R32" s="20" t="n">
        <v>1.1203434</v>
      </c>
    </row>
    <row r="33" spans="1:18">
      <c r="A33" s="15" t="s">
        <v>375</v>
      </c>
      <c r="B33" s="17" t="n">
        <v>3674</v>
      </c>
      <c r="C33" s="18">
        <f>(3226.0/B33*100)</f>
        <v/>
      </c>
      <c r="D33" s="19" t="n">
        <v>448</v>
      </c>
      <c r="E33" s="18" t="n">
        <v>87.72724492</v>
      </c>
      <c r="F33" s="20" t="n">
        <v>2.09784491</v>
      </c>
      <c r="G33" s="18" t="n">
        <v>5.45119067</v>
      </c>
      <c r="H33" s="20" t="n">
        <v>1.65582889</v>
      </c>
      <c r="I33" s="18" t="s">
        <v>349</v>
      </c>
      <c r="J33" s="20" t="s">
        <v>349</v>
      </c>
      <c r="K33" s="18" t="n">
        <v>0.32251329</v>
      </c>
      <c r="L33" s="20" t="n">
        <v>0.28237222</v>
      </c>
      <c r="M33" s="18" t="n">
        <v>0</v>
      </c>
      <c r="N33" s="20" t="n">
        <v>0</v>
      </c>
      <c r="O33" s="18" t="n">
        <v>0</v>
      </c>
      <c r="P33" s="20" t="n">
        <v>0</v>
      </c>
      <c r="Q33" s="18" t="n">
        <v>6.49905112</v>
      </c>
      <c r="R33" s="20" t="n">
        <v>1.46039646</v>
      </c>
    </row>
    <row r="34" spans="1:18">
      <c r="A34" s="15" t="s">
        <v>376</v>
      </c>
      <c r="B34" s="17" t="n">
        <v>3315</v>
      </c>
      <c r="C34" s="18">
        <f>(2929.0/B34*100)</f>
        <v/>
      </c>
      <c r="D34" s="19" t="n">
        <v>386</v>
      </c>
      <c r="E34" s="18" t="n">
        <v>87.29423753</v>
      </c>
      <c r="F34" s="20" t="n">
        <v>1.53914407</v>
      </c>
      <c r="G34" s="18" t="n">
        <v>7.87977327</v>
      </c>
      <c r="H34" s="20" t="n">
        <v>1.24669949</v>
      </c>
      <c r="I34" s="18" t="s">
        <v>349</v>
      </c>
      <c r="J34" s="20" t="s">
        <v>349</v>
      </c>
      <c r="K34" s="18" t="n">
        <v>0.38679319</v>
      </c>
      <c r="L34" s="20" t="n">
        <v>0.38556007</v>
      </c>
      <c r="M34" s="18" t="n">
        <v>0</v>
      </c>
      <c r="N34" s="20" t="n">
        <v>0</v>
      </c>
      <c r="O34" s="18" t="n">
        <v>0</v>
      </c>
      <c r="P34" s="20" t="n">
        <v>0</v>
      </c>
      <c r="Q34" s="18" t="n">
        <v>4.439196</v>
      </c>
      <c r="R34" s="20" t="n">
        <v>0.99920979</v>
      </c>
    </row>
    <row r="35" spans="1:18">
      <c r="A35" s="15" t="s">
        <v>377</v>
      </c>
      <c r="B35" s="17" t="n">
        <v>3505</v>
      </c>
      <c r="C35" s="18">
        <f>(3099.0/B35*100)</f>
        <v/>
      </c>
      <c r="D35" s="19" t="n">
        <v>406</v>
      </c>
      <c r="E35" s="18" t="n">
        <v>90.26209054</v>
      </c>
      <c r="F35" s="20" t="n">
        <v>1.67948618</v>
      </c>
      <c r="G35" s="18" t="n">
        <v>7.48405373</v>
      </c>
      <c r="H35" s="20" t="n">
        <v>1.55533157</v>
      </c>
      <c r="I35" s="18" t="s">
        <v>349</v>
      </c>
      <c r="J35" s="20" t="s">
        <v>349</v>
      </c>
      <c r="K35" s="18" t="n">
        <v>0.14918389</v>
      </c>
      <c r="L35" s="20" t="n">
        <v>0.1510862</v>
      </c>
      <c r="M35" s="18" t="n">
        <v>0</v>
      </c>
      <c r="N35" s="20" t="n">
        <v>0</v>
      </c>
      <c r="O35" s="18" t="n">
        <v>0</v>
      </c>
      <c r="P35" s="20" t="n">
        <v>0</v>
      </c>
      <c r="Q35" s="18" t="n">
        <v>2.10467184</v>
      </c>
      <c r="R35" s="20" t="n">
        <v>0.60424775</v>
      </c>
    </row>
    <row r="36" spans="1:18">
      <c r="A36" s="15" t="s">
        <v>378</v>
      </c>
      <c r="B36" s="17" t="n">
        <v>3332</v>
      </c>
      <c r="C36" s="18">
        <f>(2938.0/B36*100)</f>
        <v/>
      </c>
      <c r="D36" s="19" t="n">
        <v>394</v>
      </c>
      <c r="E36" s="18" t="n">
        <v>86.37453304</v>
      </c>
      <c r="F36" s="20" t="n">
        <v>2.07985175</v>
      </c>
      <c r="G36" s="18" t="n">
        <v>2.66688573</v>
      </c>
      <c r="H36" s="20" t="n">
        <v>0.73328695</v>
      </c>
      <c r="I36" s="18" t="s">
        <v>349</v>
      </c>
      <c r="J36" s="20" t="s">
        <v>349</v>
      </c>
      <c r="K36" s="18" t="n">
        <v>0.58075787</v>
      </c>
      <c r="L36" s="20" t="n">
        <v>0.34059642</v>
      </c>
      <c r="M36" s="18" t="n">
        <v>0</v>
      </c>
      <c r="N36" s="20" t="n">
        <v>0</v>
      </c>
      <c r="O36" s="18" t="n">
        <v>0</v>
      </c>
      <c r="P36" s="20" t="n">
        <v>0</v>
      </c>
      <c r="Q36" s="18" t="n">
        <v>10.37782335</v>
      </c>
      <c r="R36" s="20" t="n">
        <v>1.90012669</v>
      </c>
    </row>
    <row r="37" spans="1:18">
      <c r="A37" s="15" t="s">
        <v>379</v>
      </c>
      <c r="B37" s="17" t="n">
        <v>2727</v>
      </c>
      <c r="C37" s="18">
        <f>(2400.0/B37*100)</f>
        <v/>
      </c>
      <c r="D37" s="19" t="n">
        <v>327</v>
      </c>
      <c r="E37" s="18" t="n">
        <v>73.34719109</v>
      </c>
      <c r="F37" s="20" t="n">
        <v>2.44868213</v>
      </c>
      <c r="G37" s="18" t="n">
        <v>12.01196188</v>
      </c>
      <c r="H37" s="20" t="n">
        <v>1.62015753</v>
      </c>
      <c r="I37" s="18" t="s">
        <v>349</v>
      </c>
      <c r="J37" s="20" t="s">
        <v>349</v>
      </c>
      <c r="K37" s="18" t="n">
        <v>1.74894238</v>
      </c>
      <c r="L37" s="20" t="n">
        <v>0.80747378</v>
      </c>
      <c r="M37" s="18" t="n">
        <v>0</v>
      </c>
      <c r="N37" s="20" t="n">
        <v>0</v>
      </c>
      <c r="O37" s="18" t="n">
        <v>0</v>
      </c>
      <c r="P37" s="20" t="n">
        <v>0</v>
      </c>
      <c r="Q37" s="18" t="n">
        <v>12.89190464</v>
      </c>
      <c r="R37" s="20" t="n">
        <v>1.88232309</v>
      </c>
    </row>
    <row r="38" spans="1:18">
      <c r="A38" s="15" t="s">
        <v>380</v>
      </c>
      <c r="B38" s="17" t="n">
        <v>3053</v>
      </c>
      <c r="C38" s="18">
        <f>(2519.0/B38*100)</f>
        <v/>
      </c>
      <c r="D38" s="19" t="n">
        <v>534</v>
      </c>
      <c r="E38" s="18" t="n">
        <v>73.31401744999999</v>
      </c>
      <c r="F38" s="20" t="n">
        <v>2.96410644</v>
      </c>
      <c r="G38" s="18" t="n">
        <v>20.84262242</v>
      </c>
      <c r="H38" s="20" t="n">
        <v>2.25028678</v>
      </c>
      <c r="I38" s="18" t="s">
        <v>349</v>
      </c>
      <c r="J38" s="20" t="s">
        <v>349</v>
      </c>
      <c r="K38" s="18" t="n">
        <v>0.18498362</v>
      </c>
      <c r="L38" s="20" t="n">
        <v>0.16561273</v>
      </c>
      <c r="M38" s="18" t="n">
        <v>0</v>
      </c>
      <c r="N38" s="20" t="n">
        <v>0</v>
      </c>
      <c r="O38" s="18" t="n">
        <v>0</v>
      </c>
      <c r="P38" s="20" t="n">
        <v>0</v>
      </c>
      <c r="Q38" s="18" t="n">
        <v>5.65837652</v>
      </c>
      <c r="R38" s="20" t="n">
        <v>1.5935452</v>
      </c>
    </row>
    <row r="39" spans="1:18">
      <c r="A39" s="15" t="s">
        <v>381</v>
      </c>
      <c r="B39" s="17" t="n">
        <v>2957</v>
      </c>
      <c r="C39" s="18">
        <f>(2588.0/B39*100)</f>
        <v/>
      </c>
      <c r="D39" s="19" t="n">
        <v>369</v>
      </c>
      <c r="E39" s="18" t="n">
        <v>89.27546123</v>
      </c>
      <c r="F39" s="20" t="n">
        <v>1.66220498</v>
      </c>
      <c r="G39" s="18" t="n">
        <v>5.18711059</v>
      </c>
      <c r="H39" s="20" t="n">
        <v>1.16585659</v>
      </c>
      <c r="I39" s="18" t="s">
        <v>349</v>
      </c>
      <c r="J39" s="20" t="s">
        <v>349</v>
      </c>
      <c r="K39" s="18" t="n">
        <v>0.59913145</v>
      </c>
      <c r="L39" s="20" t="n">
        <v>0.35435413</v>
      </c>
      <c r="M39" s="18" t="n">
        <v>0</v>
      </c>
      <c r="N39" s="20" t="n">
        <v>0</v>
      </c>
      <c r="O39" s="18" t="n">
        <v>0</v>
      </c>
      <c r="P39" s="20" t="n">
        <v>0</v>
      </c>
      <c r="Q39" s="18" t="n">
        <v>4.93829674</v>
      </c>
      <c r="R39" s="20" t="n">
        <v>1.29172083</v>
      </c>
    </row>
    <row r="40" spans="1:18">
      <c r="A40" s="15" t="s">
        <v>382</v>
      </c>
      <c r="B40" s="17" t="n">
        <v>7235</v>
      </c>
      <c r="C40" s="18">
        <f>(6358.0/B40*100)</f>
        <v/>
      </c>
      <c r="D40" s="19" t="n">
        <v>877</v>
      </c>
      <c r="E40" s="18" t="n">
        <v>84.71402496</v>
      </c>
      <c r="F40" s="20" t="n">
        <v>1.66945434</v>
      </c>
      <c r="G40" s="18" t="n">
        <v>7.89714335</v>
      </c>
      <c r="H40" s="20" t="n">
        <v>1.28338577</v>
      </c>
      <c r="I40" s="18" t="s">
        <v>349</v>
      </c>
      <c r="J40" s="20" t="s">
        <v>349</v>
      </c>
      <c r="K40" s="18" t="n">
        <v>1.34874313</v>
      </c>
      <c r="L40" s="20" t="n">
        <v>0.6499501</v>
      </c>
      <c r="M40" s="18" t="n">
        <v>0</v>
      </c>
      <c r="N40" s="20" t="n">
        <v>0</v>
      </c>
      <c r="O40" s="18" t="n">
        <v>0</v>
      </c>
      <c r="P40" s="20" t="n">
        <v>0</v>
      </c>
      <c r="Q40" s="18" t="n">
        <v>6.04008856</v>
      </c>
      <c r="R40" s="20" t="n">
        <v>1.21230832</v>
      </c>
    </row>
    <row r="41" spans="1:18">
      <c r="A41" s="15" t="s">
        <v>383</v>
      </c>
      <c r="B41" s="17" t="n">
        <v>2858</v>
      </c>
      <c r="C41" s="18">
        <f>(2522.0/B41*100)</f>
        <v/>
      </c>
      <c r="D41" s="19" t="n">
        <v>336</v>
      </c>
      <c r="E41" s="18" t="n">
        <v>90.93526300000001</v>
      </c>
      <c r="F41" s="20" t="n">
        <v>1.83803236</v>
      </c>
      <c r="G41" s="18" t="n">
        <v>6.74004698</v>
      </c>
      <c r="H41" s="20" t="n">
        <v>1.57927477</v>
      </c>
      <c r="I41" s="18" t="s">
        <v>349</v>
      </c>
      <c r="J41" s="20" t="s">
        <v>349</v>
      </c>
      <c r="K41" s="18" t="n">
        <v>0.28481053</v>
      </c>
      <c r="L41" s="20" t="n">
        <v>0.27550168</v>
      </c>
      <c r="M41" s="18" t="n">
        <v>0</v>
      </c>
      <c r="N41" s="20" t="n">
        <v>0</v>
      </c>
      <c r="O41" s="18" t="n">
        <v>0</v>
      </c>
      <c r="P41" s="20" t="n">
        <v>0</v>
      </c>
      <c r="Q41" s="18" t="n">
        <v>2.03987949</v>
      </c>
      <c r="R41" s="20" t="n">
        <v>0.7716366099999999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(9851.0/B46*100)</f>
        <v/>
      </c>
      <c r="D46" s="19" t="n">
        <v>1217</v>
      </c>
      <c r="E46" s="18" t="n">
        <v>87.52102788000001</v>
      </c>
      <c r="F46" s="20" t="n">
        <v>1.296629</v>
      </c>
      <c r="G46" s="18" t="n">
        <v>1.88953298</v>
      </c>
      <c r="H46" s="20" t="n">
        <v>0.62073769</v>
      </c>
      <c r="I46" s="18" t="s">
        <v>349</v>
      </c>
      <c r="J46" s="20" t="s">
        <v>349</v>
      </c>
      <c r="K46" s="18" t="n">
        <v>0.7747820600000001</v>
      </c>
      <c r="L46" s="20" t="n">
        <v>0.31130073</v>
      </c>
      <c r="M46" s="18" t="n">
        <v>0</v>
      </c>
      <c r="N46" s="20" t="n">
        <v>0</v>
      </c>
      <c r="O46" s="18" t="n">
        <v>0</v>
      </c>
      <c r="P46" s="20" t="n">
        <v>0</v>
      </c>
      <c r="Q46" s="18" t="n">
        <v>9.81465708</v>
      </c>
      <c r="R46" s="20" t="n">
        <v>1.08597432</v>
      </c>
    </row>
    <row r="47" spans="1:18">
      <c r="A47" s="15" t="s">
        <v>389</v>
      </c>
      <c r="B47" s="17" t="n">
        <v>3105</v>
      </c>
      <c r="C47" s="18">
        <f>(2745.0/B47*100)</f>
        <v/>
      </c>
      <c r="D47" s="19" t="n">
        <v>360</v>
      </c>
      <c r="E47" s="18" t="n">
        <v>90.6779239</v>
      </c>
      <c r="F47" s="20" t="n">
        <v>1.67185863</v>
      </c>
      <c r="G47" s="18" t="n">
        <v>2.90083939</v>
      </c>
      <c r="H47" s="20" t="n">
        <v>1.01742299</v>
      </c>
      <c r="I47" s="18" t="s">
        <v>349</v>
      </c>
      <c r="J47" s="20" t="s">
        <v>349</v>
      </c>
      <c r="K47" s="18" t="n">
        <v>1.37155495</v>
      </c>
      <c r="L47" s="20" t="n">
        <v>0.63341395</v>
      </c>
      <c r="M47" s="18" t="n">
        <v>0</v>
      </c>
      <c r="N47" s="20" t="n">
        <v>0</v>
      </c>
      <c r="O47" s="18" t="n">
        <v>0</v>
      </c>
      <c r="P47" s="20" t="n">
        <v>0</v>
      </c>
      <c r="Q47" s="18" t="n">
        <v>5.04968176</v>
      </c>
      <c r="R47" s="20" t="n">
        <v>1.24193703</v>
      </c>
    </row>
    <row r="48" spans="1:18">
      <c r="A48" s="15" t="s">
        <v>390</v>
      </c>
      <c r="B48" s="17" t="n">
        <v>5159</v>
      </c>
      <c r="C48" s="18">
        <f>(4518.0/B48*100)</f>
        <v/>
      </c>
      <c r="D48" s="19" t="n">
        <v>641</v>
      </c>
      <c r="E48" s="18" t="n">
        <v>81.07290813</v>
      </c>
      <c r="F48" s="20" t="n">
        <v>2.40762545</v>
      </c>
      <c r="G48" s="18" t="n">
        <v>16.46058799</v>
      </c>
      <c r="H48" s="20" t="n">
        <v>2.55853401</v>
      </c>
      <c r="I48" s="18" t="s">
        <v>349</v>
      </c>
      <c r="J48" s="20" t="s">
        <v>349</v>
      </c>
      <c r="K48" s="18" t="n">
        <v>1.24975201</v>
      </c>
      <c r="L48" s="20" t="n">
        <v>0.52819896</v>
      </c>
      <c r="M48" s="18" t="n">
        <v>0</v>
      </c>
      <c r="N48" s="20" t="n">
        <v>0</v>
      </c>
      <c r="O48" s="18" t="n">
        <v>0</v>
      </c>
      <c r="P48" s="20" t="n">
        <v>0</v>
      </c>
      <c r="Q48" s="18" t="n">
        <v>1.21675187</v>
      </c>
      <c r="R48" s="20" t="n">
        <v>0.56063786</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(4947.0/B50*100)</f>
        <v/>
      </c>
      <c r="D50" s="19" t="n">
        <v>690</v>
      </c>
      <c r="E50" s="18" t="n">
        <v>95.17010259</v>
      </c>
      <c r="F50" s="20" t="n">
        <v>1.0923952</v>
      </c>
      <c r="G50" s="18" t="n">
        <v>0.60043206</v>
      </c>
      <c r="H50" s="20" t="n">
        <v>0.31147034</v>
      </c>
      <c r="I50" s="18" t="s">
        <v>349</v>
      </c>
      <c r="J50" s="20" t="s">
        <v>349</v>
      </c>
      <c r="K50" s="18" t="n">
        <v>1.60192836</v>
      </c>
      <c r="L50" s="20" t="n">
        <v>0.66809843</v>
      </c>
      <c r="M50" s="18" t="n">
        <v>0</v>
      </c>
      <c r="N50" s="20" t="n">
        <v>0</v>
      </c>
      <c r="O50" s="18" t="n">
        <v>0</v>
      </c>
      <c r="P50" s="20" t="n">
        <v>0</v>
      </c>
      <c r="Q50" s="18" t="n">
        <v>2.62753699</v>
      </c>
      <c r="R50" s="20" t="n">
        <v>0.80160349</v>
      </c>
    </row>
    <row r="51" spans="1:18">
      <c r="A51" s="15" t="s">
        <v>393</v>
      </c>
      <c r="B51" s="17" t="n">
        <v>3372</v>
      </c>
      <c r="C51" s="18">
        <f>(3010.0/B51*100)</f>
        <v/>
      </c>
      <c r="D51" s="19" t="n">
        <v>362</v>
      </c>
      <c r="E51" s="18" t="n">
        <v>91.83159637999999</v>
      </c>
      <c r="F51" s="20" t="n">
        <v>1.57469922</v>
      </c>
      <c r="G51" s="18" t="n">
        <v>1.54520647</v>
      </c>
      <c r="H51" s="20" t="n">
        <v>0.73868067</v>
      </c>
      <c r="I51" s="18" t="s">
        <v>349</v>
      </c>
      <c r="J51" s="20" t="s">
        <v>349</v>
      </c>
      <c r="K51" s="18" t="n">
        <v>0.28802085</v>
      </c>
      <c r="L51" s="20" t="n">
        <v>0.30478898</v>
      </c>
      <c r="M51" s="18" t="n">
        <v>0</v>
      </c>
      <c r="N51" s="20" t="n">
        <v>0</v>
      </c>
      <c r="O51" s="18" t="n">
        <v>0</v>
      </c>
      <c r="P51" s="20" t="n">
        <v>0</v>
      </c>
      <c r="Q51" s="18" t="n">
        <v>6.3351763</v>
      </c>
      <c r="R51" s="20" t="n">
        <v>1.44685248</v>
      </c>
    </row>
    <row r="52" spans="1:18">
      <c r="A52" s="15" t="s">
        <v>394</v>
      </c>
      <c r="B52" s="17" t="n">
        <v>2796</v>
      </c>
      <c r="C52" s="18">
        <f>(2455.0/B52*100)</f>
        <v/>
      </c>
      <c r="D52" s="19" t="n">
        <v>341</v>
      </c>
      <c r="E52" s="18" t="n">
        <v>89.38679775999999</v>
      </c>
      <c r="F52" s="20" t="n">
        <v>1.65484356</v>
      </c>
      <c r="G52" s="18" t="n">
        <v>3.25995526</v>
      </c>
      <c r="H52" s="20" t="n">
        <v>0.90702014</v>
      </c>
      <c r="I52" s="18" t="s">
        <v>349</v>
      </c>
      <c r="J52" s="20" t="s">
        <v>349</v>
      </c>
      <c r="K52" s="18" t="n">
        <v>1.01414356</v>
      </c>
      <c r="L52" s="20" t="n">
        <v>0.5843304499999999</v>
      </c>
      <c r="M52" s="18" t="n">
        <v>0</v>
      </c>
      <c r="N52" s="20" t="n">
        <v>0</v>
      </c>
      <c r="O52" s="18" t="n">
        <v>0</v>
      </c>
      <c r="P52" s="20" t="n">
        <v>0</v>
      </c>
      <c r="Q52" s="18" t="n">
        <v>6.33910342</v>
      </c>
      <c r="R52" s="20" t="n">
        <v>1.26966347</v>
      </c>
    </row>
    <row r="53" spans="1:18">
      <c r="A53" s="15" t="s">
        <v>395</v>
      </c>
      <c r="B53" s="17" t="n">
        <v>2811</v>
      </c>
      <c r="C53" s="18">
        <f>(2468.0/B53*100)</f>
        <v/>
      </c>
      <c r="D53" s="19" t="n">
        <v>343</v>
      </c>
      <c r="E53" s="18" t="n">
        <v>89.18690604</v>
      </c>
      <c r="F53" s="20" t="n">
        <v>1.82087027</v>
      </c>
      <c r="G53" s="18" t="n">
        <v>1.51073261</v>
      </c>
      <c r="H53" s="20" t="n">
        <v>0.71791667</v>
      </c>
      <c r="I53" s="18" t="s">
        <v>349</v>
      </c>
      <c r="J53" s="20" t="s">
        <v>349</v>
      </c>
      <c r="K53" s="18" t="n">
        <v>1.11029512</v>
      </c>
      <c r="L53" s="20" t="n">
        <v>0.66541002</v>
      </c>
      <c r="M53" s="18" t="n">
        <v>0</v>
      </c>
      <c r="N53" s="20" t="n">
        <v>0</v>
      </c>
      <c r="O53" s="18" t="n">
        <v>0</v>
      </c>
      <c r="P53" s="20" t="n">
        <v>0</v>
      </c>
      <c r="Q53" s="18" t="n">
        <v>8.19206623</v>
      </c>
      <c r="R53" s="20" t="n">
        <v>1.55297423</v>
      </c>
    </row>
    <row r="54" spans="1:18">
      <c r="A54" s="15" t="s">
        <v>396</v>
      </c>
      <c r="B54" s="17" t="n">
        <v>2266</v>
      </c>
      <c r="C54" s="18">
        <f>(1927.0/B54*100)</f>
        <v/>
      </c>
      <c r="D54" s="19" t="n">
        <v>339</v>
      </c>
      <c r="E54" s="18" t="n">
        <v>85.85800758000001</v>
      </c>
      <c r="F54" s="20" t="n">
        <v>2.05752854</v>
      </c>
      <c r="G54" s="18" t="n">
        <v>0.54653989</v>
      </c>
      <c r="H54" s="20" t="n">
        <v>0.37223055</v>
      </c>
      <c r="I54" s="18" t="s">
        <v>349</v>
      </c>
      <c r="J54" s="20" t="s">
        <v>349</v>
      </c>
      <c r="K54" s="18" t="n">
        <v>6.38408281</v>
      </c>
      <c r="L54" s="20" t="n">
        <v>1.55147595</v>
      </c>
      <c r="M54" s="18" t="n">
        <v>0</v>
      </c>
      <c r="N54" s="20" t="n">
        <v>0</v>
      </c>
      <c r="O54" s="18" t="n">
        <v>0</v>
      </c>
      <c r="P54" s="20" t="n">
        <v>0</v>
      </c>
      <c r="Q54" s="18" t="n">
        <v>7.21136973</v>
      </c>
      <c r="R54" s="20" t="n">
        <v>1.50042881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82.80548580999999</v>
      </c>
      <c r="F56" s="20" t="n">
        <v>1.86938324</v>
      </c>
      <c r="G56" s="18" t="n">
        <v>15.25655607</v>
      </c>
      <c r="H56" s="20" t="n">
        <v>1.7578962</v>
      </c>
      <c r="I56" s="18" t="s">
        <v>349</v>
      </c>
      <c r="J56" s="20" t="s">
        <v>349</v>
      </c>
      <c r="K56" s="18" t="n">
        <v>0</v>
      </c>
      <c r="L56" s="20" t="n">
        <v>0</v>
      </c>
      <c r="M56" s="18" t="n">
        <v>0</v>
      </c>
      <c r="N56" s="20" t="n">
        <v>0</v>
      </c>
      <c r="O56" s="18" t="n">
        <v>0</v>
      </c>
      <c r="P56" s="20" t="n">
        <v>0</v>
      </c>
      <c r="Q56" s="18" t="n">
        <v>1.93795812</v>
      </c>
      <c r="R56" s="20" t="n">
        <v>0.6556221</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(2905.0/B61*100)</f>
        <v/>
      </c>
      <c r="D61" s="19" t="n">
        <v>419</v>
      </c>
      <c r="E61" s="18" t="n">
        <v>89.4164859</v>
      </c>
      <c r="F61" s="20" t="n">
        <v>1.6762675</v>
      </c>
      <c r="G61" s="18" t="n">
        <v>6.92302023</v>
      </c>
      <c r="H61" s="20" t="n">
        <v>1.50809146</v>
      </c>
      <c r="I61" s="18" t="s">
        <v>349</v>
      </c>
      <c r="J61" s="20" t="s">
        <v>349</v>
      </c>
      <c r="K61" s="18" t="n">
        <v>0.23936008</v>
      </c>
      <c r="L61" s="20" t="n">
        <v>0.24051457</v>
      </c>
      <c r="M61" s="18" t="n">
        <v>0</v>
      </c>
      <c r="N61" s="20" t="n">
        <v>0</v>
      </c>
      <c r="O61" s="18" t="n">
        <v>0</v>
      </c>
      <c r="P61" s="20" t="n">
        <v>0</v>
      </c>
      <c r="Q61" s="18" t="n">
        <v>3.42113378</v>
      </c>
      <c r="R61" s="20" t="n">
        <v>0.95923844</v>
      </c>
    </row>
    <row r="62" spans="1:18">
      <c r="A62" s="15" t="s">
        <v>404</v>
      </c>
      <c r="B62" s="17" t="n">
        <v>2246</v>
      </c>
      <c r="C62" s="18">
        <f>(1947.0/B62*100)</f>
        <v/>
      </c>
      <c r="D62" s="19" t="n">
        <v>299</v>
      </c>
      <c r="E62" s="18" t="n">
        <v>89.32954436</v>
      </c>
      <c r="F62" s="20" t="n">
        <v>1.65471135</v>
      </c>
      <c r="G62" s="18" t="n">
        <v>10.00626662</v>
      </c>
      <c r="H62" s="20" t="n">
        <v>1.61535671</v>
      </c>
      <c r="I62" s="18" t="s">
        <v>349</v>
      </c>
      <c r="J62" s="20" t="s">
        <v>349</v>
      </c>
      <c r="K62" s="18" t="n">
        <v>0</v>
      </c>
      <c r="L62" s="20" t="n">
        <v>0</v>
      </c>
      <c r="M62" s="18" t="n">
        <v>0</v>
      </c>
      <c r="N62" s="20" t="n">
        <v>0</v>
      </c>
      <c r="O62" s="18" t="n">
        <v>0</v>
      </c>
      <c r="P62" s="20" t="n">
        <v>0</v>
      </c>
      <c r="Q62" s="18" t="n">
        <v>0.66418902</v>
      </c>
      <c r="R62" s="20" t="n">
        <v>0.46633776</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(2541.0/B66*100)</f>
        <v/>
      </c>
      <c r="D66" s="19" t="n">
        <v>353</v>
      </c>
      <c r="E66" s="18" t="n">
        <v>82.7241788</v>
      </c>
      <c r="F66" s="20" t="n">
        <v>1.85671804</v>
      </c>
      <c r="G66" s="18" t="n">
        <v>1.29228438</v>
      </c>
      <c r="H66" s="20" t="n">
        <v>0.65044662</v>
      </c>
      <c r="I66" s="18" t="s">
        <v>349</v>
      </c>
      <c r="J66" s="20" t="s">
        <v>349</v>
      </c>
      <c r="K66" s="18" t="n">
        <v>1.36687298</v>
      </c>
      <c r="L66" s="20" t="n">
        <v>0.49482332</v>
      </c>
      <c r="M66" s="18" t="n">
        <v>0</v>
      </c>
      <c r="N66" s="20" t="n">
        <v>0</v>
      </c>
      <c r="O66" s="18" t="n">
        <v>0</v>
      </c>
      <c r="P66" s="20" t="n">
        <v>0</v>
      </c>
      <c r="Q66" s="18" t="n">
        <v>14.61666384</v>
      </c>
      <c r="R66" s="20" t="n">
        <v>1.77041058</v>
      </c>
    </row>
    <row r="67" spans="1:18">
      <c r="A67" s="15" t="s">
        <v>409</v>
      </c>
      <c r="B67" s="17" t="n">
        <v>3511</v>
      </c>
      <c r="C67" s="18">
        <f>(3113.0/B67*100)</f>
        <v/>
      </c>
      <c r="D67" s="19" t="n">
        <v>398</v>
      </c>
      <c r="E67" s="18" t="n">
        <v>89.69845152000001</v>
      </c>
      <c r="F67" s="20" t="n">
        <v>1.5203441</v>
      </c>
      <c r="G67" s="18" t="n">
        <v>1.76127626</v>
      </c>
      <c r="H67" s="20" t="n">
        <v>0.5737570400000001</v>
      </c>
      <c r="I67" s="18" t="s">
        <v>349</v>
      </c>
      <c r="J67" s="20" t="s">
        <v>349</v>
      </c>
      <c r="K67" s="18" t="n">
        <v>0.10477612</v>
      </c>
      <c r="L67" s="20" t="n">
        <v>0.10493688</v>
      </c>
      <c r="M67" s="18" t="n">
        <v>0</v>
      </c>
      <c r="N67" s="20" t="n">
        <v>0</v>
      </c>
      <c r="O67" s="18" t="n">
        <v>0</v>
      </c>
      <c r="P67" s="20" t="n">
        <v>0</v>
      </c>
      <c r="Q67" s="18" t="n">
        <v>8.4354961</v>
      </c>
      <c r="R67" s="20" t="n">
        <v>1.47900518</v>
      </c>
    </row>
    <row r="68" spans="1:18">
      <c r="A68" s="15" t="s">
        <v>410</v>
      </c>
      <c r="B68" s="17" t="n">
        <v>6049</v>
      </c>
      <c r="C68" s="18">
        <f>(5049.0/B68*100)</f>
        <v/>
      </c>
      <c r="D68" s="19" t="n">
        <v>1000</v>
      </c>
      <c r="E68" s="18" t="n">
        <v>86.27876274</v>
      </c>
      <c r="F68" s="20" t="n">
        <v>1.09161755</v>
      </c>
      <c r="G68" s="18" t="n">
        <v>2.17131431</v>
      </c>
      <c r="H68" s="20" t="n">
        <v>0.56780438</v>
      </c>
      <c r="I68" s="18" t="s">
        <v>349</v>
      </c>
      <c r="J68" s="20" t="s">
        <v>349</v>
      </c>
      <c r="K68" s="18" t="n">
        <v>2.88411404</v>
      </c>
      <c r="L68" s="20" t="n">
        <v>0.52377194</v>
      </c>
      <c r="M68" s="18" t="n">
        <v>0</v>
      </c>
      <c r="N68" s="20" t="n">
        <v>0</v>
      </c>
      <c r="O68" s="18" t="n">
        <v>0</v>
      </c>
      <c r="P68" s="20" t="n">
        <v>0</v>
      </c>
      <c r="Q68" s="18" t="n">
        <v>8.66580892</v>
      </c>
      <c r="R68" s="20" t="n">
        <v>0.9078204600000001</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(2542.0/B70*100)</f>
        <v/>
      </c>
      <c r="D70" s="19" t="n">
        <v>387</v>
      </c>
      <c r="E70" s="18" t="n">
        <v>85.97103872</v>
      </c>
      <c r="F70" s="20" t="n">
        <v>2.36410733</v>
      </c>
      <c r="G70" s="18" t="n">
        <v>10.42462093</v>
      </c>
      <c r="H70" s="20" t="n">
        <v>1.93323789</v>
      </c>
      <c r="I70" s="18" t="s">
        <v>349</v>
      </c>
      <c r="J70" s="20" t="s">
        <v>349</v>
      </c>
      <c r="K70" s="18" t="n">
        <v>0</v>
      </c>
      <c r="L70" s="20" t="n">
        <v>0</v>
      </c>
      <c r="M70" s="18" t="n">
        <v>0</v>
      </c>
      <c r="N70" s="20" t="n">
        <v>0</v>
      </c>
      <c r="O70" s="18" t="n">
        <v>0</v>
      </c>
      <c r="P70" s="20" t="n">
        <v>0</v>
      </c>
      <c r="Q70" s="18" t="n">
        <v>3.60434035</v>
      </c>
      <c r="R70" s="20" t="n">
        <v>1.08866968</v>
      </c>
    </row>
    <row r="71" spans="1:18">
      <c r="A71" s="15" t="s">
        <v>413</v>
      </c>
      <c r="B71" s="17" t="n">
        <v>3142</v>
      </c>
      <c r="C71" s="18">
        <f>(2754.0/B71*100)</f>
        <v/>
      </c>
      <c r="D71" s="19" t="n">
        <v>388</v>
      </c>
      <c r="E71" s="18" t="n">
        <v>78.29880060000001</v>
      </c>
      <c r="F71" s="20" t="n">
        <v>2.23734794</v>
      </c>
      <c r="G71" s="18" t="n">
        <v>19.68039316</v>
      </c>
      <c r="H71" s="20" t="n">
        <v>2.14016007</v>
      </c>
      <c r="I71" s="18" t="s">
        <v>349</v>
      </c>
      <c r="J71" s="20" t="s">
        <v>349</v>
      </c>
      <c r="K71" s="18" t="n">
        <v>0.15207417</v>
      </c>
      <c r="L71" s="20" t="n">
        <v>0.15462322</v>
      </c>
      <c r="M71" s="18" t="n">
        <v>0</v>
      </c>
      <c r="N71" s="20" t="n">
        <v>0</v>
      </c>
      <c r="O71" s="18" t="n">
        <v>0</v>
      </c>
      <c r="P71" s="20" t="n">
        <v>0</v>
      </c>
      <c r="Q71" s="18" t="n">
        <v>1.86873207</v>
      </c>
      <c r="R71" s="20" t="n">
        <v>0.6977302</v>
      </c>
    </row>
    <row r="72" spans="1:18">
      <c r="A72" s="15" t="s">
        <v>414</v>
      </c>
      <c r="B72" s="17" t="n">
        <v>3889</v>
      </c>
      <c r="C72" s="18">
        <f>(3421.0/B72*100)</f>
        <v/>
      </c>
      <c r="D72" s="19" t="n">
        <v>468</v>
      </c>
      <c r="E72" s="18" t="n">
        <v>78.72056162</v>
      </c>
      <c r="F72" s="20" t="n">
        <v>2.0031794</v>
      </c>
      <c r="G72" s="18" t="n">
        <v>19.48191679</v>
      </c>
      <c r="H72" s="20" t="n">
        <v>1.94157799</v>
      </c>
      <c r="I72" s="18" t="s">
        <v>349</v>
      </c>
      <c r="J72" s="20" t="s">
        <v>349</v>
      </c>
      <c r="K72" s="18" t="n">
        <v>0.2886428</v>
      </c>
      <c r="L72" s="20" t="n">
        <v>0.28805845</v>
      </c>
      <c r="M72" s="18" t="n">
        <v>0</v>
      </c>
      <c r="N72" s="20" t="n">
        <v>0</v>
      </c>
      <c r="O72" s="18" t="n">
        <v>0</v>
      </c>
      <c r="P72" s="20" t="n">
        <v>0</v>
      </c>
      <c r="Q72" s="18" t="n">
        <v>1.50887879</v>
      </c>
      <c r="R72" s="20" t="n">
        <v>0.56141931</v>
      </c>
    </row>
    <row r="73" spans="1:18">
      <c r="A73" s="15" t="s">
        <v>415</v>
      </c>
      <c r="B73" s="17" t="n">
        <v>3597</v>
      </c>
      <c r="C73" s="18">
        <f>(3173.0/B73*100)</f>
        <v/>
      </c>
      <c r="D73" s="19" t="n">
        <v>424</v>
      </c>
      <c r="E73" s="18" t="n">
        <v>94.06497615000001</v>
      </c>
      <c r="F73" s="20" t="n">
        <v>1.33585452</v>
      </c>
      <c r="G73" s="18" t="n">
        <v>2.1859742</v>
      </c>
      <c r="H73" s="20" t="n">
        <v>0.7644758</v>
      </c>
      <c r="I73" s="18" t="s">
        <v>349</v>
      </c>
      <c r="J73" s="20" t="s">
        <v>349</v>
      </c>
      <c r="K73" s="18" t="n">
        <v>0</v>
      </c>
      <c r="L73" s="20" t="n">
        <v>0</v>
      </c>
      <c r="M73" s="18" t="n">
        <v>0</v>
      </c>
      <c r="N73" s="20" t="n">
        <v>0</v>
      </c>
      <c r="O73" s="18" t="n">
        <v>0</v>
      </c>
      <c r="P73" s="20" t="n">
        <v>0</v>
      </c>
      <c r="Q73" s="18" t="n">
        <v>3.74904965</v>
      </c>
      <c r="R73" s="20" t="n">
        <v>1.12294795</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(2138.0/B75*100)</f>
        <v/>
      </c>
      <c r="D75" s="19" t="n">
        <v>268</v>
      </c>
      <c r="E75" s="18" t="n">
        <v>88.86367283</v>
      </c>
      <c r="F75" s="20" t="n">
        <v>1.68762948</v>
      </c>
      <c r="G75" s="18" t="n">
        <v>0.17714191</v>
      </c>
      <c r="H75" s="20" t="n">
        <v>0.17592116</v>
      </c>
      <c r="I75" s="18" t="s">
        <v>349</v>
      </c>
      <c r="J75" s="20" t="s">
        <v>349</v>
      </c>
      <c r="K75" s="18" t="n">
        <v>2.54444016</v>
      </c>
      <c r="L75" s="20" t="n">
        <v>0.90022455</v>
      </c>
      <c r="M75" s="18" t="n">
        <v>0</v>
      </c>
      <c r="N75" s="20" t="n">
        <v>0</v>
      </c>
      <c r="O75" s="18" t="n">
        <v>0</v>
      </c>
      <c r="P75" s="20" t="n">
        <v>0</v>
      </c>
      <c r="Q75" s="18" t="n">
        <v>8.414745099999999</v>
      </c>
      <c r="R75" s="20" t="n">
        <v>1.56296649</v>
      </c>
    </row>
    <row r="76" spans="1:18">
      <c r="A76" s="15" t="s">
        <v>418</v>
      </c>
      <c r="B76" s="17" t="n">
        <v>7052</v>
      </c>
      <c r="C76" s="18">
        <f>(6184.0/B76*100)</f>
        <v/>
      </c>
      <c r="D76" s="19" t="n">
        <v>868</v>
      </c>
      <c r="E76" s="18" t="n">
        <v>93.03437769</v>
      </c>
      <c r="F76" s="20" t="n">
        <v>1.04953018</v>
      </c>
      <c r="G76" s="18" t="n">
        <v>1.30886618</v>
      </c>
      <c r="H76" s="20" t="n">
        <v>0.3622701</v>
      </c>
      <c r="I76" s="18" t="s">
        <v>349</v>
      </c>
      <c r="J76" s="20" t="s">
        <v>349</v>
      </c>
      <c r="K76" s="18" t="n">
        <v>0.5121258</v>
      </c>
      <c r="L76" s="20" t="n">
        <v>0.26382848</v>
      </c>
      <c r="M76" s="18" t="n">
        <v>0</v>
      </c>
      <c r="N76" s="20" t="n">
        <v>0</v>
      </c>
      <c r="O76" s="18" t="n">
        <v>0</v>
      </c>
      <c r="P76" s="20" t="n">
        <v>0</v>
      </c>
      <c r="Q76" s="18" t="n">
        <v>5.14463032</v>
      </c>
      <c r="R76" s="20" t="n">
        <v>0.93992963</v>
      </c>
    </row>
    <row r="77" spans="1:18">
      <c r="A77" s="15" t="s">
        <v>419</v>
      </c>
      <c r="B77" s="17" t="n">
        <v>2908</v>
      </c>
      <c r="C77" s="18">
        <f>(2551.0/B77*100)</f>
        <v/>
      </c>
      <c r="D77" s="19" t="n">
        <v>357</v>
      </c>
      <c r="E77" s="18" t="n">
        <v>86.33801183999999</v>
      </c>
      <c r="F77" s="20" t="n">
        <v>1.84293883</v>
      </c>
      <c r="G77" s="18" t="n">
        <v>0.8335223899999999</v>
      </c>
      <c r="H77" s="20" t="n">
        <v>0.47605633</v>
      </c>
      <c r="I77" s="18" t="s">
        <v>349</v>
      </c>
      <c r="J77" s="20" t="s">
        <v>349</v>
      </c>
      <c r="K77" s="18" t="n">
        <v>2.31082972</v>
      </c>
      <c r="L77" s="20" t="n">
        <v>0.97204252</v>
      </c>
      <c r="M77" s="18" t="n">
        <v>0</v>
      </c>
      <c r="N77" s="20" t="n">
        <v>0</v>
      </c>
      <c r="O77" s="18" t="n">
        <v>0</v>
      </c>
      <c r="P77" s="20" t="n">
        <v>0</v>
      </c>
      <c r="Q77" s="18" t="n">
        <v>10.51763605</v>
      </c>
      <c r="R77" s="20" t="n">
        <v>1.52510437</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(3657.0/B81*100)</f>
        <v/>
      </c>
      <c r="D81" s="19" t="n">
        <v>506</v>
      </c>
      <c r="E81" s="18" t="n">
        <v>92.47043186000001</v>
      </c>
      <c r="F81" s="20" t="n">
        <v>1.3669662</v>
      </c>
      <c r="G81" s="18" t="n">
        <v>6.54907819</v>
      </c>
      <c r="H81" s="20" t="n">
        <v>1.20854591</v>
      </c>
      <c r="I81" s="18" t="s">
        <v>349</v>
      </c>
      <c r="J81" s="20" t="s">
        <v>349</v>
      </c>
      <c r="K81" s="18" t="n">
        <v>0</v>
      </c>
      <c r="L81" s="20" t="n">
        <v>0</v>
      </c>
      <c r="M81" s="18" t="n">
        <v>0</v>
      </c>
      <c r="N81" s="20" t="n">
        <v>0</v>
      </c>
      <c r="O81" s="18" t="n">
        <v>0</v>
      </c>
      <c r="P81" s="20" t="n">
        <v>0</v>
      </c>
      <c r="Q81" s="18" t="n">
        <v>0.98048996</v>
      </c>
      <c r="R81" s="20" t="n">
        <v>0.57290898</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(6431.0/B7*100)</f>
        <v/>
      </c>
      <c r="D7" s="19" t="n">
        <v>936</v>
      </c>
      <c r="E7" s="18" t="n">
        <v>15.90205341</v>
      </c>
      <c r="F7" s="20" t="n">
        <v>1.58784901</v>
      </c>
      <c r="G7" s="18" t="n">
        <v>79.9449754</v>
      </c>
      <c r="H7" s="20" t="n">
        <v>1.80933535</v>
      </c>
      <c r="I7" s="18" t="s">
        <v>349</v>
      </c>
      <c r="J7" s="20" t="s">
        <v>349</v>
      </c>
      <c r="K7" s="18" t="n">
        <v>0.82656414</v>
      </c>
      <c r="L7" s="20" t="n">
        <v>0.38393611</v>
      </c>
      <c r="M7" s="18" t="n">
        <v>0.40693181</v>
      </c>
      <c r="N7" s="20" t="n">
        <v>0.25591674</v>
      </c>
      <c r="O7" s="18" t="n">
        <v>0</v>
      </c>
      <c r="P7" s="20" t="n">
        <v>0</v>
      </c>
      <c r="Q7" s="18" t="n">
        <v>2.91947524</v>
      </c>
      <c r="R7" s="20" t="n">
        <v>0.56665116</v>
      </c>
    </row>
    <row r="8" spans="1:18">
      <c r="A8" s="15" t="s">
        <v>350</v>
      </c>
      <c r="B8" s="17" t="n">
        <v>3564</v>
      </c>
      <c r="C8" s="18">
        <f>(3126.0/B8*100)</f>
        <v/>
      </c>
      <c r="D8" s="19" t="n">
        <v>438</v>
      </c>
      <c r="E8" s="18" t="n">
        <v>22.53420757</v>
      </c>
      <c r="F8" s="20" t="n">
        <v>2.70735803</v>
      </c>
      <c r="G8" s="18" t="n">
        <v>75.26882388</v>
      </c>
      <c r="H8" s="20" t="n">
        <v>2.96681062</v>
      </c>
      <c r="I8" s="18" t="s">
        <v>349</v>
      </c>
      <c r="J8" s="20" t="s">
        <v>349</v>
      </c>
      <c r="K8" s="18" t="n">
        <v>0.75757442</v>
      </c>
      <c r="L8" s="20" t="n">
        <v>0.59188019</v>
      </c>
      <c r="M8" s="18" t="n">
        <v>0</v>
      </c>
      <c r="N8" s="20" t="n">
        <v>0</v>
      </c>
      <c r="O8" s="18" t="n">
        <v>0</v>
      </c>
      <c r="P8" s="20" t="n">
        <v>0</v>
      </c>
      <c r="Q8" s="18" t="n">
        <v>1.43939414</v>
      </c>
      <c r="R8" s="20" t="n">
        <v>0.53316011</v>
      </c>
    </row>
    <row r="9" spans="1:18">
      <c r="A9" s="15" t="s">
        <v>351</v>
      </c>
      <c r="B9" s="17" t="n">
        <v>4899</v>
      </c>
      <c r="C9" s="18">
        <f>(4335.0/B9*100)</f>
        <v/>
      </c>
      <c r="D9" s="19" t="n">
        <v>564</v>
      </c>
      <c r="E9" s="18" t="n">
        <v>23.49223086</v>
      </c>
      <c r="F9" s="20" t="n">
        <v>1.78004115</v>
      </c>
      <c r="G9" s="18" t="n">
        <v>74.02314269999999</v>
      </c>
      <c r="H9" s="20" t="n">
        <v>1.97965014</v>
      </c>
      <c r="I9" s="18" t="s">
        <v>349</v>
      </c>
      <c r="J9" s="20" t="s">
        <v>349</v>
      </c>
      <c r="K9" s="18" t="n">
        <v>0.51195606</v>
      </c>
      <c r="L9" s="20" t="n">
        <v>0.32187245</v>
      </c>
      <c r="M9" s="18" t="n">
        <v>0.74237371</v>
      </c>
      <c r="N9" s="20" t="n">
        <v>0.39629521</v>
      </c>
      <c r="O9" s="18" t="n">
        <v>0</v>
      </c>
      <c r="P9" s="20" t="n">
        <v>0</v>
      </c>
      <c r="Q9" s="18" t="n">
        <v>1.23029667</v>
      </c>
      <c r="R9" s="20" t="n">
        <v>0.5402960999999999</v>
      </c>
    </row>
    <row r="10" spans="1:18">
      <c r="A10" s="15" t="s">
        <v>352</v>
      </c>
      <c r="B10" s="17" t="n">
        <v>10036</v>
      </c>
      <c r="C10" s="18">
        <f>(8816.0/B10*100)</f>
        <v/>
      </c>
      <c r="D10" s="19" t="n">
        <v>1220</v>
      </c>
      <c r="E10" s="18" t="n">
        <v>16.3771159</v>
      </c>
      <c r="F10" s="20" t="n">
        <v>1.50557842</v>
      </c>
      <c r="G10" s="18" t="n">
        <v>82.09845575</v>
      </c>
      <c r="H10" s="20" t="n">
        <v>1.51535276</v>
      </c>
      <c r="I10" s="18" t="s">
        <v>349</v>
      </c>
      <c r="J10" s="20" t="s">
        <v>349</v>
      </c>
      <c r="K10" s="18" t="n">
        <v>0.32050811</v>
      </c>
      <c r="L10" s="20" t="n">
        <v>0.12922612</v>
      </c>
      <c r="M10" s="18" t="n">
        <v>0.16664429</v>
      </c>
      <c r="N10" s="20" t="n">
        <v>0.11662114</v>
      </c>
      <c r="O10" s="18" t="n">
        <v>0</v>
      </c>
      <c r="P10" s="20" t="n">
        <v>0</v>
      </c>
      <c r="Q10" s="18" t="n">
        <v>1.03727595</v>
      </c>
      <c r="R10" s="20" t="n">
        <v>0.34963417</v>
      </c>
    </row>
    <row r="11" spans="1:18">
      <c r="A11" s="15" t="s">
        <v>353</v>
      </c>
      <c r="B11" s="17" t="n">
        <v>3553</v>
      </c>
      <c r="C11" s="18">
        <f>(3145.0/B11*100)</f>
        <v/>
      </c>
      <c r="D11" s="19" t="n">
        <v>408</v>
      </c>
      <c r="E11" s="18" t="n">
        <v>40.94410084</v>
      </c>
      <c r="F11" s="20" t="n">
        <v>2.73336229</v>
      </c>
      <c r="G11" s="18" t="n">
        <v>54.84303633</v>
      </c>
      <c r="H11" s="20" t="n">
        <v>3.00696654</v>
      </c>
      <c r="I11" s="18" t="s">
        <v>349</v>
      </c>
      <c r="J11" s="20" t="s">
        <v>349</v>
      </c>
      <c r="K11" s="18" t="n">
        <v>0.48467132</v>
      </c>
      <c r="L11" s="20" t="n">
        <v>0.0505434</v>
      </c>
      <c r="M11" s="18" t="n">
        <v>0</v>
      </c>
      <c r="N11" s="20" t="n">
        <v>0</v>
      </c>
      <c r="O11" s="18" t="n">
        <v>0</v>
      </c>
      <c r="P11" s="20" t="n">
        <v>0</v>
      </c>
      <c r="Q11" s="18" t="n">
        <v>3.72819151</v>
      </c>
      <c r="R11" s="20" t="n">
        <v>1.64567961</v>
      </c>
    </row>
    <row r="12" spans="1:18">
      <c r="A12" s="15" t="s">
        <v>354</v>
      </c>
      <c r="B12" s="17" t="n">
        <v>3472</v>
      </c>
      <c r="C12" s="18">
        <f>(3047.0/B12*100)</f>
        <v/>
      </c>
      <c r="D12" s="19" t="n">
        <v>425</v>
      </c>
      <c r="E12" s="18" t="n">
        <v>23.54287667</v>
      </c>
      <c r="F12" s="20" t="n">
        <v>2.24753503</v>
      </c>
      <c r="G12" s="18" t="n">
        <v>73.94199159999999</v>
      </c>
      <c r="H12" s="20" t="n">
        <v>2.20043317</v>
      </c>
      <c r="I12" s="18" t="s">
        <v>349</v>
      </c>
      <c r="J12" s="20" t="s">
        <v>349</v>
      </c>
      <c r="K12" s="18" t="n">
        <v>0</v>
      </c>
      <c r="L12" s="20" t="n">
        <v>0</v>
      </c>
      <c r="M12" s="18" t="n">
        <v>0.10403405</v>
      </c>
      <c r="N12" s="20" t="n">
        <v>0.10688985</v>
      </c>
      <c r="O12" s="18" t="n">
        <v>0</v>
      </c>
      <c r="P12" s="20" t="n">
        <v>0</v>
      </c>
      <c r="Q12" s="18" t="n">
        <v>2.41109768</v>
      </c>
      <c r="R12" s="20" t="n">
        <v>0.79043047</v>
      </c>
    </row>
    <row r="13" spans="1:18">
      <c r="A13" s="15" t="s">
        <v>355</v>
      </c>
      <c r="B13" s="17" t="n">
        <v>3559</v>
      </c>
      <c r="C13" s="18">
        <f>(3156.0/B13*100)</f>
        <v/>
      </c>
      <c r="D13" s="19" t="n">
        <v>403</v>
      </c>
      <c r="E13" s="18" t="n">
        <v>15.4010982</v>
      </c>
      <c r="F13" s="20" t="n">
        <v>1.90193845</v>
      </c>
      <c r="G13" s="18" t="n">
        <v>84.04512638</v>
      </c>
      <c r="H13" s="20" t="n">
        <v>1.89767117</v>
      </c>
      <c r="I13" s="18" t="s">
        <v>349</v>
      </c>
      <c r="J13" s="20" t="s">
        <v>349</v>
      </c>
      <c r="K13" s="18" t="n">
        <v>0.16149234</v>
      </c>
      <c r="L13" s="20" t="n">
        <v>0.11243861</v>
      </c>
      <c r="M13" s="18" t="n">
        <v>0.22125444</v>
      </c>
      <c r="N13" s="20" t="n">
        <v>0.22403144</v>
      </c>
      <c r="O13" s="18" t="n">
        <v>0</v>
      </c>
      <c r="P13" s="20" t="n">
        <v>0</v>
      </c>
      <c r="Q13" s="18" t="n">
        <v>0.17102864</v>
      </c>
      <c r="R13" s="20" t="n">
        <v>0.10731441</v>
      </c>
    </row>
    <row r="14" spans="1:18">
      <c r="A14" s="15" t="s">
        <v>356</v>
      </c>
      <c r="B14" s="17" t="n">
        <v>2799</v>
      </c>
      <c r="C14" s="18">
        <f>(2451.0/B14*100)</f>
        <v/>
      </c>
      <c r="D14" s="19" t="n">
        <v>348</v>
      </c>
      <c r="E14" s="18" t="n">
        <v>20.08508552</v>
      </c>
      <c r="F14" s="20" t="n">
        <v>2.06398483</v>
      </c>
      <c r="G14" s="18" t="n">
        <v>77.86245364</v>
      </c>
      <c r="H14" s="20" t="n">
        <v>2.23053419</v>
      </c>
      <c r="I14" s="18" t="s">
        <v>349</v>
      </c>
      <c r="J14" s="20" t="s">
        <v>349</v>
      </c>
      <c r="K14" s="18" t="n">
        <v>0.4683645</v>
      </c>
      <c r="L14" s="20" t="n">
        <v>0.46861214</v>
      </c>
      <c r="M14" s="18" t="n">
        <v>0</v>
      </c>
      <c r="N14" s="20" t="n">
        <v>0</v>
      </c>
      <c r="O14" s="18" t="n">
        <v>0</v>
      </c>
      <c r="P14" s="20" t="n">
        <v>0</v>
      </c>
      <c r="Q14" s="18" t="n">
        <v>1.58409635</v>
      </c>
      <c r="R14" s="20" t="n">
        <v>0.93517542</v>
      </c>
    </row>
    <row r="15" spans="1:18">
      <c r="A15" s="15" t="s">
        <v>357</v>
      </c>
      <c r="B15" s="17" t="n">
        <v>3019</v>
      </c>
      <c r="C15" s="18">
        <f>(2650.0/B15*100)</f>
        <v/>
      </c>
      <c r="D15" s="19" t="n">
        <v>369</v>
      </c>
      <c r="E15" s="18" t="n">
        <v>18.8481116</v>
      </c>
      <c r="F15" s="20" t="n">
        <v>2.03058489</v>
      </c>
      <c r="G15" s="18" t="n">
        <v>78.11582337</v>
      </c>
      <c r="H15" s="20" t="n">
        <v>2.26932935</v>
      </c>
      <c r="I15" s="18" t="s">
        <v>349</v>
      </c>
      <c r="J15" s="20" t="s">
        <v>349</v>
      </c>
      <c r="K15" s="18" t="n">
        <v>1.06007474</v>
      </c>
      <c r="L15" s="20" t="n">
        <v>0.52328209</v>
      </c>
      <c r="M15" s="18" t="n">
        <v>0</v>
      </c>
      <c r="N15" s="20" t="n">
        <v>0</v>
      </c>
      <c r="O15" s="18" t="n">
        <v>0</v>
      </c>
      <c r="P15" s="20" t="n">
        <v>0</v>
      </c>
      <c r="Q15" s="18" t="n">
        <v>1.97599029</v>
      </c>
      <c r="R15" s="20" t="n">
        <v>0.87845112</v>
      </c>
    </row>
    <row r="16" spans="1:18">
      <c r="A16" s="15" t="s">
        <v>358</v>
      </c>
      <c r="B16" s="17" t="n">
        <v>2997</v>
      </c>
      <c r="C16" s="18">
        <f>(2643.0/B16*100)</f>
        <v/>
      </c>
      <c r="D16" s="19" t="n">
        <v>354</v>
      </c>
      <c r="E16" s="18" t="n">
        <v>22.0302647</v>
      </c>
      <c r="F16" s="20" t="n">
        <v>2.18983138</v>
      </c>
      <c r="G16" s="18" t="n">
        <v>72.78602979999999</v>
      </c>
      <c r="H16" s="20" t="n">
        <v>2.29931043</v>
      </c>
      <c r="I16" s="18" t="s">
        <v>349</v>
      </c>
      <c r="J16" s="20" t="s">
        <v>349</v>
      </c>
      <c r="K16" s="18" t="n">
        <v>1.64298081</v>
      </c>
      <c r="L16" s="20" t="n">
        <v>0.63613671</v>
      </c>
      <c r="M16" s="18" t="n">
        <v>0</v>
      </c>
      <c r="N16" s="20" t="n">
        <v>0</v>
      </c>
      <c r="O16" s="18" t="n">
        <v>0</v>
      </c>
      <c r="P16" s="20" t="n">
        <v>0</v>
      </c>
      <c r="Q16" s="18" t="n">
        <v>3.54072469</v>
      </c>
      <c r="R16" s="20" t="n">
        <v>0.72510891</v>
      </c>
    </row>
    <row r="17" spans="1:18">
      <c r="A17" s="15" t="s">
        <v>359</v>
      </c>
      <c r="B17" s="17" t="n">
        <v>3307</v>
      </c>
      <c r="C17" s="18">
        <f>(2928.0/B17*100)</f>
        <v/>
      </c>
      <c r="D17" s="19" t="n">
        <v>379</v>
      </c>
      <c r="E17" s="18" t="n">
        <v>18.20800134</v>
      </c>
      <c r="F17" s="20" t="n">
        <v>1.86810145</v>
      </c>
      <c r="G17" s="18" t="n">
        <v>80.03135965</v>
      </c>
      <c r="H17" s="20" t="n">
        <v>1.92116546</v>
      </c>
      <c r="I17" s="18" t="s">
        <v>349</v>
      </c>
      <c r="J17" s="20" t="s">
        <v>349</v>
      </c>
      <c r="K17" s="18" t="n">
        <v>0.72648198</v>
      </c>
      <c r="L17" s="20" t="n">
        <v>0.48308077</v>
      </c>
      <c r="M17" s="18" t="n">
        <v>0</v>
      </c>
      <c r="N17" s="20" t="n">
        <v>0</v>
      </c>
      <c r="O17" s="18" t="n">
        <v>0</v>
      </c>
      <c r="P17" s="20" t="n">
        <v>0</v>
      </c>
      <c r="Q17" s="18" t="n">
        <v>1.03415703</v>
      </c>
      <c r="R17" s="20" t="n">
        <v>0.53205314</v>
      </c>
    </row>
    <row r="18" spans="1:18">
      <c r="A18" s="15" t="s">
        <v>360</v>
      </c>
      <c r="B18" s="17" t="n">
        <v>2826</v>
      </c>
      <c r="C18" s="18">
        <f>(2479.0/B18*100)</f>
        <v/>
      </c>
      <c r="D18" s="19" t="n">
        <v>347</v>
      </c>
      <c r="E18" s="18" t="n">
        <v>26.63802102</v>
      </c>
      <c r="F18" s="20" t="n">
        <v>2.76844142</v>
      </c>
      <c r="G18" s="18" t="n">
        <v>67.605587</v>
      </c>
      <c r="H18" s="20" t="n">
        <v>2.75065032</v>
      </c>
      <c r="I18" s="18" t="s">
        <v>349</v>
      </c>
      <c r="J18" s="20" t="s">
        <v>349</v>
      </c>
      <c r="K18" s="18" t="n">
        <v>1.89438444</v>
      </c>
      <c r="L18" s="20" t="n">
        <v>0.88710837</v>
      </c>
      <c r="M18" s="18" t="n">
        <v>0</v>
      </c>
      <c r="N18" s="20" t="n">
        <v>0</v>
      </c>
      <c r="O18" s="18" t="n">
        <v>0</v>
      </c>
      <c r="P18" s="20" t="n">
        <v>0</v>
      </c>
      <c r="Q18" s="18" t="n">
        <v>3.86200754</v>
      </c>
      <c r="R18" s="20" t="n">
        <v>1.26841033</v>
      </c>
    </row>
    <row r="19" spans="1:18">
      <c r="A19" s="15" t="s">
        <v>361</v>
      </c>
      <c r="B19" s="17" t="n">
        <v>2808</v>
      </c>
      <c r="C19" s="18">
        <f>(2460.0/B19*100)</f>
        <v/>
      </c>
      <c r="D19" s="19" t="n">
        <v>348</v>
      </c>
      <c r="E19" s="18" t="n">
        <v>32.36685851</v>
      </c>
      <c r="F19" s="20" t="n">
        <v>2.76251675</v>
      </c>
      <c r="G19" s="18" t="n">
        <v>65.91722152</v>
      </c>
      <c r="H19" s="20" t="n">
        <v>2.73470921</v>
      </c>
      <c r="I19" s="18" t="s">
        <v>349</v>
      </c>
      <c r="J19" s="20" t="s">
        <v>349</v>
      </c>
      <c r="K19" s="18" t="n">
        <v>0.26557496</v>
      </c>
      <c r="L19" s="20" t="n">
        <v>0.19311549</v>
      </c>
      <c r="M19" s="18" t="n">
        <v>0</v>
      </c>
      <c r="N19" s="20" t="n">
        <v>0</v>
      </c>
      <c r="O19" s="18" t="n">
        <v>0</v>
      </c>
      <c r="P19" s="20" t="n">
        <v>0</v>
      </c>
      <c r="Q19" s="18" t="n">
        <v>1.450345</v>
      </c>
      <c r="R19" s="20" t="n">
        <v>0.63147062</v>
      </c>
    </row>
    <row r="20" spans="1:18">
      <c r="A20" s="15" t="s">
        <v>362</v>
      </c>
      <c r="B20" s="17" t="n">
        <v>1630</v>
      </c>
      <c r="C20" s="18">
        <f>(1438.0/B20*100)</f>
        <v/>
      </c>
      <c r="D20" s="19" t="n">
        <v>192</v>
      </c>
      <c r="E20" s="18" t="n">
        <v>29.87235577</v>
      </c>
      <c r="F20" s="20" t="n">
        <v>3.44961706</v>
      </c>
      <c r="G20" s="18" t="n">
        <v>67.42054486000001</v>
      </c>
      <c r="H20" s="20" t="n">
        <v>3.31240159</v>
      </c>
      <c r="I20" s="18" t="s">
        <v>349</v>
      </c>
      <c r="J20" s="20" t="s">
        <v>349</v>
      </c>
      <c r="K20" s="18" t="n">
        <v>1.52323007</v>
      </c>
      <c r="L20" s="20" t="n">
        <v>0.8373187600000001</v>
      </c>
      <c r="M20" s="18" t="n">
        <v>0</v>
      </c>
      <c r="N20" s="20" t="n">
        <v>0</v>
      </c>
      <c r="O20" s="18" t="n">
        <v>0</v>
      </c>
      <c r="P20" s="20" t="n">
        <v>0</v>
      </c>
      <c r="Q20" s="18" t="n">
        <v>1.1838693</v>
      </c>
      <c r="R20" s="20" t="n">
        <v>1.00170901</v>
      </c>
    </row>
    <row r="21" spans="1:18">
      <c r="A21" s="15" t="s">
        <v>363</v>
      </c>
      <c r="B21" s="17" t="n">
        <v>2908</v>
      </c>
      <c r="C21" s="18">
        <f>(2401.0/B21*100)</f>
        <v/>
      </c>
      <c r="D21" s="19" t="n">
        <v>507</v>
      </c>
      <c r="E21" s="18" t="n">
        <v>16.81473465</v>
      </c>
      <c r="F21" s="20" t="n">
        <v>1.49610545</v>
      </c>
      <c r="G21" s="18" t="n">
        <v>82.12280455</v>
      </c>
      <c r="H21" s="20" t="n">
        <v>1.49421229</v>
      </c>
      <c r="I21" s="18" t="s">
        <v>349</v>
      </c>
      <c r="J21" s="20" t="s">
        <v>349</v>
      </c>
      <c r="K21" s="18" t="n">
        <v>0.45432284</v>
      </c>
      <c r="L21" s="20" t="n">
        <v>0.26427572</v>
      </c>
      <c r="M21" s="18" t="n">
        <v>0</v>
      </c>
      <c r="N21" s="20" t="n">
        <v>0</v>
      </c>
      <c r="O21" s="18" t="n">
        <v>0</v>
      </c>
      <c r="P21" s="20" t="n">
        <v>0</v>
      </c>
      <c r="Q21" s="18" t="n">
        <v>0.60813796</v>
      </c>
      <c r="R21" s="20" t="n">
        <v>0.39093978</v>
      </c>
    </row>
    <row r="22" spans="1:18">
      <c r="A22" s="15" t="s">
        <v>364</v>
      </c>
      <c r="B22" s="17" t="n">
        <v>2931</v>
      </c>
      <c r="C22" s="18">
        <f>(2567.0/B22*100)</f>
        <v/>
      </c>
      <c r="D22" s="19" t="n">
        <v>364</v>
      </c>
      <c r="E22" s="18" t="n">
        <v>35.36604156</v>
      </c>
      <c r="F22" s="20" t="n">
        <v>2.84503837</v>
      </c>
      <c r="G22" s="18" t="n">
        <v>58.58691007</v>
      </c>
      <c r="H22" s="20" t="n">
        <v>3.0635743</v>
      </c>
      <c r="I22" s="18" t="s">
        <v>349</v>
      </c>
      <c r="J22" s="20" t="s">
        <v>349</v>
      </c>
      <c r="K22" s="18" t="n">
        <v>1.04042639</v>
      </c>
      <c r="L22" s="20" t="n">
        <v>0.630916</v>
      </c>
      <c r="M22" s="18" t="n">
        <v>0</v>
      </c>
      <c r="N22" s="20" t="n">
        <v>0</v>
      </c>
      <c r="O22" s="18" t="n">
        <v>0</v>
      </c>
      <c r="P22" s="20" t="n">
        <v>0</v>
      </c>
      <c r="Q22" s="18" t="n">
        <v>5.00662198</v>
      </c>
      <c r="R22" s="20" t="n">
        <v>1.02770001</v>
      </c>
    </row>
    <row r="23" spans="1:18">
      <c r="A23" s="15" t="s">
        <v>365</v>
      </c>
      <c r="B23" s="17" t="n">
        <v>5791</v>
      </c>
      <c r="C23" s="18">
        <f>(5098.0/B23*100)</f>
        <v/>
      </c>
      <c r="D23" s="19" t="n">
        <v>693</v>
      </c>
      <c r="E23" s="18" t="n">
        <v>30.26072762</v>
      </c>
      <c r="F23" s="20" t="n">
        <v>2.68802662</v>
      </c>
      <c r="G23" s="18" t="n">
        <v>65.18890226000001</v>
      </c>
      <c r="H23" s="20" t="n">
        <v>2.85196708</v>
      </c>
      <c r="I23" s="18" t="s">
        <v>349</v>
      </c>
      <c r="J23" s="20" t="s">
        <v>349</v>
      </c>
      <c r="K23" s="18" t="n">
        <v>1.26876616</v>
      </c>
      <c r="L23" s="20" t="n">
        <v>0.5609140500000001</v>
      </c>
      <c r="M23" s="18" t="n">
        <v>0.16868689</v>
      </c>
      <c r="N23" s="20" t="n">
        <v>0.18053753</v>
      </c>
      <c r="O23" s="18" t="n">
        <v>0</v>
      </c>
      <c r="P23" s="20" t="n">
        <v>0</v>
      </c>
      <c r="Q23" s="18" t="n">
        <v>3.11291707</v>
      </c>
      <c r="R23" s="20" t="n">
        <v>1.06488686</v>
      </c>
    </row>
    <row r="24" spans="1:18">
      <c r="A24" s="15" t="s">
        <v>366</v>
      </c>
      <c r="B24" s="17" t="n">
        <v>3338</v>
      </c>
      <c r="C24" s="18">
        <f>(2942.0/B24*100)</f>
        <v/>
      </c>
      <c r="D24" s="19" t="n">
        <v>396</v>
      </c>
      <c r="E24" s="18" t="n">
        <v>26.27025356</v>
      </c>
      <c r="F24" s="20" t="n">
        <v>2.27071739</v>
      </c>
      <c r="G24" s="18" t="n">
        <v>72.27287388000001</v>
      </c>
      <c r="H24" s="20" t="n">
        <v>2.31328263</v>
      </c>
      <c r="I24" s="18" t="s">
        <v>349</v>
      </c>
      <c r="J24" s="20" t="s">
        <v>349</v>
      </c>
      <c r="K24" s="18" t="n">
        <v>0.17890349</v>
      </c>
      <c r="L24" s="20" t="n">
        <v>0.17925419</v>
      </c>
      <c r="M24" s="18" t="n">
        <v>0</v>
      </c>
      <c r="N24" s="20" t="n">
        <v>0</v>
      </c>
      <c r="O24" s="18" t="n">
        <v>0</v>
      </c>
      <c r="P24" s="20" t="n">
        <v>0</v>
      </c>
      <c r="Q24" s="18" t="n">
        <v>1.27796906</v>
      </c>
      <c r="R24" s="20" t="n">
        <v>0.57493191</v>
      </c>
    </row>
    <row r="25" spans="1:18">
      <c r="A25" s="15" t="s">
        <v>367</v>
      </c>
      <c r="B25" s="17" t="n">
        <v>2912</v>
      </c>
      <c r="C25" s="18">
        <f>(2539.0/B25*100)</f>
        <v/>
      </c>
      <c r="D25" s="19" t="n">
        <v>373</v>
      </c>
      <c r="E25" s="18" t="n">
        <v>37.53486597</v>
      </c>
      <c r="F25" s="20" t="n">
        <v>2.58716868</v>
      </c>
      <c r="G25" s="18" t="n">
        <v>59.8233539</v>
      </c>
      <c r="H25" s="20" t="n">
        <v>2.51556638</v>
      </c>
      <c r="I25" s="18" t="s">
        <v>349</v>
      </c>
      <c r="J25" s="20" t="s">
        <v>349</v>
      </c>
      <c r="K25" s="18" t="n">
        <v>1.88178657</v>
      </c>
      <c r="L25" s="20" t="n">
        <v>0.71899711</v>
      </c>
      <c r="M25" s="18" t="n">
        <v>0</v>
      </c>
      <c r="N25" s="20" t="n">
        <v>0</v>
      </c>
      <c r="O25" s="18" t="n">
        <v>0</v>
      </c>
      <c r="P25" s="20" t="n">
        <v>0</v>
      </c>
      <c r="Q25" s="18" t="n">
        <v>0.75999357</v>
      </c>
      <c r="R25" s="20" t="n">
        <v>0.44254429</v>
      </c>
    </row>
    <row r="26" spans="1:18">
      <c r="A26" s="15" t="s">
        <v>368</v>
      </c>
      <c r="B26" s="17" t="n">
        <v>2450</v>
      </c>
      <c r="C26" s="18">
        <f>(2138.0/B26*100)</f>
        <v/>
      </c>
      <c r="D26" s="19" t="n">
        <v>312</v>
      </c>
      <c r="E26" s="18" t="n">
        <v>26.22227337</v>
      </c>
      <c r="F26" s="20" t="n">
        <v>2.68994295</v>
      </c>
      <c r="G26" s="18" t="n">
        <v>71.02818368</v>
      </c>
      <c r="H26" s="20" t="n">
        <v>2.87569639</v>
      </c>
      <c r="I26" s="18" t="s">
        <v>349</v>
      </c>
      <c r="J26" s="20" t="s">
        <v>349</v>
      </c>
      <c r="K26" s="18" t="n">
        <v>0.55266742</v>
      </c>
      <c r="L26" s="20" t="n">
        <v>0.39662341</v>
      </c>
      <c r="M26" s="18" t="n">
        <v>0</v>
      </c>
      <c r="N26" s="20" t="n">
        <v>0</v>
      </c>
      <c r="O26" s="18" t="n">
        <v>0</v>
      </c>
      <c r="P26" s="20" t="n">
        <v>0</v>
      </c>
      <c r="Q26" s="18" t="n">
        <v>2.19687553</v>
      </c>
      <c r="R26" s="20" t="n">
        <v>0.9433366</v>
      </c>
    </row>
    <row r="27" spans="1:18">
      <c r="A27" s="15" t="s">
        <v>369</v>
      </c>
      <c r="B27" s="17" t="n">
        <v>2616</v>
      </c>
      <c r="C27" s="18">
        <f>(2308.0/B27*100)</f>
        <v/>
      </c>
      <c r="D27" s="19" t="n">
        <v>308</v>
      </c>
      <c r="E27" s="18" t="n">
        <v>26.02667064</v>
      </c>
      <c r="F27" s="20" t="n">
        <v>2.16316367</v>
      </c>
      <c r="G27" s="18" t="n">
        <v>71.36121012</v>
      </c>
      <c r="H27" s="20" t="n">
        <v>2.30209168</v>
      </c>
      <c r="I27" s="18" t="s">
        <v>349</v>
      </c>
      <c r="J27" s="20" t="s">
        <v>349</v>
      </c>
      <c r="K27" s="18" t="n">
        <v>0.98117415</v>
      </c>
      <c r="L27" s="20" t="n">
        <v>0.56017361</v>
      </c>
      <c r="M27" s="18" t="n">
        <v>0</v>
      </c>
      <c r="N27" s="20" t="n">
        <v>0</v>
      </c>
      <c r="O27" s="18" t="n">
        <v>0</v>
      </c>
      <c r="P27" s="20" t="n">
        <v>0</v>
      </c>
      <c r="Q27" s="18" t="n">
        <v>1.63094509</v>
      </c>
      <c r="R27" s="20" t="n">
        <v>0.73700484</v>
      </c>
    </row>
    <row r="28" spans="1:18">
      <c r="A28" s="15" t="s">
        <v>370</v>
      </c>
      <c r="B28" s="17" t="n">
        <v>3765</v>
      </c>
      <c r="C28" s="18">
        <f>(3311.0/B28*100)</f>
        <v/>
      </c>
      <c r="D28" s="19" t="n">
        <v>454</v>
      </c>
      <c r="E28" s="18" t="n">
        <v>56.23926968</v>
      </c>
      <c r="F28" s="20" t="n">
        <v>2.39285296</v>
      </c>
      <c r="G28" s="18" t="n">
        <v>40.70539968</v>
      </c>
      <c r="H28" s="20" t="n">
        <v>2.22336972</v>
      </c>
      <c r="I28" s="18" t="s">
        <v>349</v>
      </c>
      <c r="J28" s="20" t="s">
        <v>349</v>
      </c>
      <c r="K28" s="18" t="n">
        <v>1.51309676</v>
      </c>
      <c r="L28" s="20" t="n">
        <v>0.75105703</v>
      </c>
      <c r="M28" s="18" t="n">
        <v>0.35129885</v>
      </c>
      <c r="N28" s="20" t="n">
        <v>0.3529537</v>
      </c>
      <c r="O28" s="18" t="n">
        <v>0</v>
      </c>
      <c r="P28" s="20" t="n">
        <v>0</v>
      </c>
      <c r="Q28" s="18" t="n">
        <v>1.19093503</v>
      </c>
      <c r="R28" s="20" t="n">
        <v>0.5355110199999999</v>
      </c>
    </row>
    <row r="29" spans="1:18">
      <c r="A29" s="15" t="s">
        <v>371</v>
      </c>
      <c r="B29" s="17" t="n">
        <v>2685</v>
      </c>
      <c r="C29" s="18">
        <f>(2352.0/B29*100)</f>
        <v/>
      </c>
      <c r="D29" s="19" t="n">
        <v>333</v>
      </c>
      <c r="E29" s="18" t="n">
        <v>27.18554815</v>
      </c>
      <c r="F29" s="20" t="n">
        <v>2.53735643</v>
      </c>
      <c r="G29" s="18" t="n">
        <v>72.11253667</v>
      </c>
      <c r="H29" s="20" t="n">
        <v>2.55323816</v>
      </c>
      <c r="I29" s="18" t="s">
        <v>349</v>
      </c>
      <c r="J29" s="20" t="s">
        <v>349</v>
      </c>
      <c r="K29" s="18" t="n">
        <v>0.70191518</v>
      </c>
      <c r="L29" s="20" t="n">
        <v>0.46673913</v>
      </c>
      <c r="M29" s="18" t="n">
        <v>0</v>
      </c>
      <c r="N29" s="20" t="n">
        <v>0</v>
      </c>
      <c r="O29" s="18" t="n">
        <v>0</v>
      </c>
      <c r="P29" s="20" t="n">
        <v>0</v>
      </c>
      <c r="Q29" s="18" t="n">
        <v>0</v>
      </c>
      <c r="R29" s="20" t="n">
        <v>0</v>
      </c>
    </row>
    <row r="30" spans="1:18">
      <c r="A30" s="15" t="s">
        <v>372</v>
      </c>
      <c r="B30" s="17" t="n">
        <v>2263</v>
      </c>
      <c r="C30" s="18">
        <f>(2004.0/B30*100)</f>
        <v/>
      </c>
      <c r="D30" s="19" t="n">
        <v>259</v>
      </c>
      <c r="E30" s="18" t="n">
        <v>16.18686976</v>
      </c>
      <c r="F30" s="20" t="n">
        <v>2.50474925</v>
      </c>
      <c r="G30" s="18" t="n">
        <v>81.45442023</v>
      </c>
      <c r="H30" s="20" t="n">
        <v>2.44458702</v>
      </c>
      <c r="I30" s="18" t="s">
        <v>349</v>
      </c>
      <c r="J30" s="20" t="s">
        <v>349</v>
      </c>
      <c r="K30" s="18" t="n">
        <v>0.43083369</v>
      </c>
      <c r="L30" s="20" t="n">
        <v>0.41464634</v>
      </c>
      <c r="M30" s="18" t="n">
        <v>0.34555922</v>
      </c>
      <c r="N30" s="20" t="n">
        <v>0.35072036</v>
      </c>
      <c r="O30" s="18" t="n">
        <v>0</v>
      </c>
      <c r="P30" s="20" t="n">
        <v>0</v>
      </c>
      <c r="Q30" s="18" t="n">
        <v>1.5823171</v>
      </c>
      <c r="R30" s="20" t="n">
        <v>0.81503899</v>
      </c>
    </row>
    <row r="31" spans="1:18">
      <c r="A31" s="15" t="s">
        <v>373</v>
      </c>
      <c r="B31" s="17" t="n">
        <v>2750</v>
      </c>
      <c r="C31" s="18">
        <f>(2422.0/B31*100)</f>
        <v/>
      </c>
      <c r="D31" s="19" t="n">
        <v>328</v>
      </c>
      <c r="E31" s="18" t="n">
        <v>23.22224979</v>
      </c>
      <c r="F31" s="20" t="n">
        <v>2.25221139</v>
      </c>
      <c r="G31" s="18" t="n">
        <v>74.10899999999999</v>
      </c>
      <c r="H31" s="20" t="n">
        <v>2.28028913</v>
      </c>
      <c r="I31" s="18" t="s">
        <v>349</v>
      </c>
      <c r="J31" s="20" t="s">
        <v>349</v>
      </c>
      <c r="K31" s="18" t="n">
        <v>1.21485924</v>
      </c>
      <c r="L31" s="20" t="n">
        <v>0.60465378</v>
      </c>
      <c r="M31" s="18" t="n">
        <v>0</v>
      </c>
      <c r="N31" s="20" t="n">
        <v>0</v>
      </c>
      <c r="O31" s="18" t="n">
        <v>0</v>
      </c>
      <c r="P31" s="20" t="n">
        <v>0</v>
      </c>
      <c r="Q31" s="18" t="n">
        <v>1.45389097</v>
      </c>
      <c r="R31" s="20" t="n">
        <v>0.6688790100000001</v>
      </c>
    </row>
    <row r="32" spans="1:18">
      <c r="A32" s="15" t="s">
        <v>374</v>
      </c>
      <c r="B32" s="17" t="n">
        <v>2269</v>
      </c>
      <c r="C32" s="18">
        <f>(1894.0/B32*100)</f>
        <v/>
      </c>
      <c r="D32" s="19" t="n">
        <v>375</v>
      </c>
      <c r="E32" s="18" t="n">
        <v>23.33789818</v>
      </c>
      <c r="F32" s="20" t="n">
        <v>2.42039869</v>
      </c>
      <c r="G32" s="18" t="n">
        <v>76.06861428000001</v>
      </c>
      <c r="H32" s="20" t="n">
        <v>2.49021904</v>
      </c>
      <c r="I32" s="18" t="s">
        <v>349</v>
      </c>
      <c r="J32" s="20" t="s">
        <v>349</v>
      </c>
      <c r="K32" s="18" t="n">
        <v>0</v>
      </c>
      <c r="L32" s="20" t="n">
        <v>0</v>
      </c>
      <c r="M32" s="18" t="n">
        <v>0</v>
      </c>
      <c r="N32" s="20" t="n">
        <v>0</v>
      </c>
      <c r="O32" s="18" t="n">
        <v>0</v>
      </c>
      <c r="P32" s="20" t="n">
        <v>0</v>
      </c>
      <c r="Q32" s="18" t="n">
        <v>0.59348753</v>
      </c>
      <c r="R32" s="20" t="n">
        <v>0.46533919</v>
      </c>
    </row>
    <row r="33" spans="1:18">
      <c r="A33" s="15" t="s">
        <v>375</v>
      </c>
      <c r="B33" s="17" t="n">
        <v>3674</v>
      </c>
      <c r="C33" s="18">
        <f>(3232.0/B33*100)</f>
        <v/>
      </c>
      <c r="D33" s="19" t="n">
        <v>442</v>
      </c>
      <c r="E33" s="18" t="n">
        <v>28.79171568</v>
      </c>
      <c r="F33" s="20" t="n">
        <v>2.40257946</v>
      </c>
      <c r="G33" s="18" t="n">
        <v>69.58236828</v>
      </c>
      <c r="H33" s="20" t="n">
        <v>2.47253091</v>
      </c>
      <c r="I33" s="18" t="s">
        <v>349</v>
      </c>
      <c r="J33" s="20" t="s">
        <v>349</v>
      </c>
      <c r="K33" s="18" t="n">
        <v>0.32856311</v>
      </c>
      <c r="L33" s="20" t="n">
        <v>0.28768663</v>
      </c>
      <c r="M33" s="18" t="n">
        <v>0</v>
      </c>
      <c r="N33" s="20" t="n">
        <v>0</v>
      </c>
      <c r="O33" s="18" t="n">
        <v>0</v>
      </c>
      <c r="P33" s="20" t="n">
        <v>0</v>
      </c>
      <c r="Q33" s="18" t="n">
        <v>1.29735294</v>
      </c>
      <c r="R33" s="20" t="n">
        <v>0.64483223</v>
      </c>
    </row>
    <row r="34" spans="1:18">
      <c r="A34" s="15" t="s">
        <v>376</v>
      </c>
      <c r="B34" s="17" t="n">
        <v>3315</v>
      </c>
      <c r="C34" s="18">
        <f>(2932.0/B34*100)</f>
        <v/>
      </c>
      <c r="D34" s="19" t="n">
        <v>383</v>
      </c>
      <c r="E34" s="18" t="n">
        <v>31.2513375</v>
      </c>
      <c r="F34" s="20" t="n">
        <v>2.57510279</v>
      </c>
      <c r="G34" s="18" t="n">
        <v>66.29104562000001</v>
      </c>
      <c r="H34" s="20" t="n">
        <v>2.66703711</v>
      </c>
      <c r="I34" s="18" t="s">
        <v>349</v>
      </c>
      <c r="J34" s="20" t="s">
        <v>349</v>
      </c>
      <c r="K34" s="18" t="n">
        <v>0.39092381</v>
      </c>
      <c r="L34" s="20" t="n">
        <v>0.38972514</v>
      </c>
      <c r="M34" s="18" t="n">
        <v>0.17048794</v>
      </c>
      <c r="N34" s="20" t="n">
        <v>0.17154482</v>
      </c>
      <c r="O34" s="18" t="n">
        <v>0</v>
      </c>
      <c r="P34" s="20" t="n">
        <v>0</v>
      </c>
      <c r="Q34" s="18" t="n">
        <v>1.89620512</v>
      </c>
      <c r="R34" s="20" t="n">
        <v>0.4906509</v>
      </c>
    </row>
    <row r="35" spans="1:18">
      <c r="A35" s="15" t="s">
        <v>377</v>
      </c>
      <c r="B35" s="17" t="n">
        <v>3505</v>
      </c>
      <c r="C35" s="18">
        <f>(3100.0/B35*100)</f>
        <v/>
      </c>
      <c r="D35" s="19" t="n">
        <v>405</v>
      </c>
      <c r="E35" s="18" t="n">
        <v>15.83725922</v>
      </c>
      <c r="F35" s="20" t="n">
        <v>2.06130791</v>
      </c>
      <c r="G35" s="18" t="n">
        <v>83.00526059000001</v>
      </c>
      <c r="H35" s="20" t="n">
        <v>2.09675654</v>
      </c>
      <c r="I35" s="18" t="s">
        <v>349</v>
      </c>
      <c r="J35" s="20" t="s">
        <v>349</v>
      </c>
      <c r="K35" s="18" t="n">
        <v>0.14938674</v>
      </c>
      <c r="L35" s="20" t="n">
        <v>0.15129525</v>
      </c>
      <c r="M35" s="18" t="n">
        <v>0.44067876</v>
      </c>
      <c r="N35" s="20" t="n">
        <v>0.43853923</v>
      </c>
      <c r="O35" s="18" t="n">
        <v>0</v>
      </c>
      <c r="P35" s="20" t="n">
        <v>0</v>
      </c>
      <c r="Q35" s="18" t="n">
        <v>0.56741469</v>
      </c>
      <c r="R35" s="20" t="n">
        <v>0.1950081</v>
      </c>
    </row>
    <row r="36" spans="1:18">
      <c r="A36" s="15" t="s">
        <v>378</v>
      </c>
      <c r="B36" s="17" t="n">
        <v>3332</v>
      </c>
      <c r="C36" s="18">
        <f>(2944.0/B36*100)</f>
        <v/>
      </c>
      <c r="D36" s="19" t="n">
        <v>388</v>
      </c>
      <c r="E36" s="18" t="n">
        <v>27.73115386</v>
      </c>
      <c r="F36" s="20" t="n">
        <v>2.40926442</v>
      </c>
      <c r="G36" s="18" t="n">
        <v>70.66458695999999</v>
      </c>
      <c r="H36" s="20" t="n">
        <v>2.37228733</v>
      </c>
      <c r="I36" s="18" t="s">
        <v>349</v>
      </c>
      <c r="J36" s="20" t="s">
        <v>349</v>
      </c>
      <c r="K36" s="18" t="n">
        <v>0.58997828</v>
      </c>
      <c r="L36" s="20" t="n">
        <v>0.34602267</v>
      </c>
      <c r="M36" s="18" t="n">
        <v>0</v>
      </c>
      <c r="N36" s="20" t="n">
        <v>0</v>
      </c>
      <c r="O36" s="18" t="n">
        <v>0</v>
      </c>
      <c r="P36" s="20" t="n">
        <v>0</v>
      </c>
      <c r="Q36" s="18" t="n">
        <v>1.0142809</v>
      </c>
      <c r="R36" s="20" t="n">
        <v>0.56408647</v>
      </c>
    </row>
    <row r="37" spans="1:18">
      <c r="A37" s="15" t="s">
        <v>379</v>
      </c>
      <c r="B37" s="17" t="n">
        <v>2727</v>
      </c>
      <c r="C37" s="18">
        <f>(2402.0/B37*100)</f>
        <v/>
      </c>
      <c r="D37" s="19" t="n">
        <v>325</v>
      </c>
      <c r="E37" s="18" t="n">
        <v>21.44787102</v>
      </c>
      <c r="F37" s="20" t="n">
        <v>2.4379147</v>
      </c>
      <c r="G37" s="18" t="n">
        <v>73.89465197</v>
      </c>
      <c r="H37" s="20" t="n">
        <v>2.59082888</v>
      </c>
      <c r="I37" s="18" t="s">
        <v>349</v>
      </c>
      <c r="J37" s="20" t="s">
        <v>349</v>
      </c>
      <c r="K37" s="18" t="n">
        <v>1.76150118</v>
      </c>
      <c r="L37" s="20" t="n">
        <v>0.81257346</v>
      </c>
      <c r="M37" s="18" t="n">
        <v>0</v>
      </c>
      <c r="N37" s="20" t="n">
        <v>0</v>
      </c>
      <c r="O37" s="18" t="n">
        <v>0</v>
      </c>
      <c r="P37" s="20" t="n">
        <v>0</v>
      </c>
      <c r="Q37" s="18" t="n">
        <v>2.89597583</v>
      </c>
      <c r="R37" s="20" t="n">
        <v>0.98858648</v>
      </c>
    </row>
    <row r="38" spans="1:18">
      <c r="A38" s="15" t="s">
        <v>380</v>
      </c>
      <c r="B38" s="17" t="n">
        <v>3053</v>
      </c>
      <c r="C38" s="18">
        <f>(2526.0/B38*100)</f>
        <v/>
      </c>
      <c r="D38" s="19" t="n">
        <v>527</v>
      </c>
      <c r="E38" s="18" t="n">
        <v>23.1642935</v>
      </c>
      <c r="F38" s="20" t="n">
        <v>2.4216547</v>
      </c>
      <c r="G38" s="18" t="n">
        <v>75.08165286000001</v>
      </c>
      <c r="H38" s="20" t="n">
        <v>2.38649994</v>
      </c>
      <c r="I38" s="18" t="s">
        <v>349</v>
      </c>
      <c r="J38" s="20" t="s">
        <v>349</v>
      </c>
      <c r="K38" s="18" t="n">
        <v>0.18849053</v>
      </c>
      <c r="L38" s="20" t="n">
        <v>0.16874912</v>
      </c>
      <c r="M38" s="18" t="n">
        <v>0</v>
      </c>
      <c r="N38" s="20" t="n">
        <v>0</v>
      </c>
      <c r="O38" s="18" t="n">
        <v>0</v>
      </c>
      <c r="P38" s="20" t="n">
        <v>0</v>
      </c>
      <c r="Q38" s="18" t="n">
        <v>1.56556311</v>
      </c>
      <c r="R38" s="20" t="n">
        <v>0.74404254</v>
      </c>
    </row>
    <row r="39" spans="1:18">
      <c r="A39" s="15" t="s">
        <v>381</v>
      </c>
      <c r="B39" s="17" t="n">
        <v>2957</v>
      </c>
      <c r="C39" s="18">
        <f>(2589.0/B39*100)</f>
        <v/>
      </c>
      <c r="D39" s="19" t="n">
        <v>368</v>
      </c>
      <c r="E39" s="18" t="n">
        <v>52.56900565</v>
      </c>
      <c r="F39" s="20" t="n">
        <v>2.80325825</v>
      </c>
      <c r="G39" s="18" t="n">
        <v>45.98052804</v>
      </c>
      <c r="H39" s="20" t="n">
        <v>2.78572728</v>
      </c>
      <c r="I39" s="18" t="s">
        <v>349</v>
      </c>
      <c r="J39" s="20" t="s">
        <v>349</v>
      </c>
      <c r="K39" s="18" t="n">
        <v>0.60067154</v>
      </c>
      <c r="L39" s="20" t="n">
        <v>0.35525871</v>
      </c>
      <c r="M39" s="18" t="n">
        <v>0</v>
      </c>
      <c r="N39" s="20" t="n">
        <v>0</v>
      </c>
      <c r="O39" s="18" t="n">
        <v>0</v>
      </c>
      <c r="P39" s="20" t="n">
        <v>0</v>
      </c>
      <c r="Q39" s="18" t="n">
        <v>0.84979477</v>
      </c>
      <c r="R39" s="20" t="n">
        <v>0.52903417</v>
      </c>
    </row>
    <row r="40" spans="1:18">
      <c r="A40" s="15" t="s">
        <v>382</v>
      </c>
      <c r="B40" s="17" t="n">
        <v>7235</v>
      </c>
      <c r="C40" s="18">
        <f>(6358.0/B40*100)</f>
        <v/>
      </c>
      <c r="D40" s="19" t="n">
        <v>877</v>
      </c>
      <c r="E40" s="18" t="n">
        <v>17.59024054</v>
      </c>
      <c r="F40" s="20" t="n">
        <v>1.68508694</v>
      </c>
      <c r="G40" s="18" t="n">
        <v>79.08363884000001</v>
      </c>
      <c r="H40" s="20" t="n">
        <v>1.98679752</v>
      </c>
      <c r="I40" s="18" t="s">
        <v>349</v>
      </c>
      <c r="J40" s="20" t="s">
        <v>349</v>
      </c>
      <c r="K40" s="18" t="n">
        <v>1.34874313</v>
      </c>
      <c r="L40" s="20" t="n">
        <v>0.6499501</v>
      </c>
      <c r="M40" s="18" t="n">
        <v>0.1899032</v>
      </c>
      <c r="N40" s="20" t="n">
        <v>0.18160334</v>
      </c>
      <c r="O40" s="18" t="n">
        <v>0</v>
      </c>
      <c r="P40" s="20" t="n">
        <v>0</v>
      </c>
      <c r="Q40" s="18" t="n">
        <v>1.78747429</v>
      </c>
      <c r="R40" s="20" t="n">
        <v>0.80353471</v>
      </c>
    </row>
    <row r="41" spans="1:18">
      <c r="A41" s="15" t="s">
        <v>383</v>
      </c>
      <c r="B41" s="17" t="n">
        <v>2858</v>
      </c>
      <c r="C41" s="18">
        <f>(2523.0/B41*100)</f>
        <v/>
      </c>
      <c r="D41" s="19" t="n">
        <v>335</v>
      </c>
      <c r="E41" s="18" t="n">
        <v>20.75626244</v>
      </c>
      <c r="F41" s="20" t="n">
        <v>1.87870338</v>
      </c>
      <c r="G41" s="18" t="n">
        <v>77.27287923</v>
      </c>
      <c r="H41" s="20" t="n">
        <v>2.01187739</v>
      </c>
      <c r="I41" s="18" t="s">
        <v>349</v>
      </c>
      <c r="J41" s="20" t="s">
        <v>349</v>
      </c>
      <c r="K41" s="18" t="n">
        <v>0.28586772</v>
      </c>
      <c r="L41" s="20" t="n">
        <v>0.2765373</v>
      </c>
      <c r="M41" s="18" t="n">
        <v>0</v>
      </c>
      <c r="N41" s="20" t="n">
        <v>0</v>
      </c>
      <c r="O41" s="18" t="n">
        <v>0</v>
      </c>
      <c r="P41" s="20" t="n">
        <v>0</v>
      </c>
      <c r="Q41" s="18" t="n">
        <v>1.6849906</v>
      </c>
      <c r="R41" s="20" t="n">
        <v>0.75520429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(9937.0/B46*100)</f>
        <v/>
      </c>
      <c r="D46" s="19" t="n">
        <v>1131</v>
      </c>
      <c r="E46" s="18" t="n">
        <v>49.30545505</v>
      </c>
      <c r="F46" s="20" t="n">
        <v>1.78540968</v>
      </c>
      <c r="G46" s="18" t="n">
        <v>44.05410102</v>
      </c>
      <c r="H46" s="20" t="n">
        <v>2.00712701</v>
      </c>
      <c r="I46" s="18" t="s">
        <v>349</v>
      </c>
      <c r="J46" s="20" t="s">
        <v>349</v>
      </c>
      <c r="K46" s="18" t="n">
        <v>1.01337771</v>
      </c>
      <c r="L46" s="20" t="n">
        <v>0.39093997</v>
      </c>
      <c r="M46" s="18" t="n">
        <v>0.0918436</v>
      </c>
      <c r="N46" s="20" t="n">
        <v>0.06760126</v>
      </c>
      <c r="O46" s="18" t="n">
        <v>0</v>
      </c>
      <c r="P46" s="20" t="n">
        <v>0</v>
      </c>
      <c r="Q46" s="18" t="n">
        <v>5.53522262</v>
      </c>
      <c r="R46" s="20" t="n">
        <v>0.84517947</v>
      </c>
    </row>
    <row r="47" spans="1:18">
      <c r="A47" s="15" t="s">
        <v>389</v>
      </c>
      <c r="B47" s="17" t="n">
        <v>3105</v>
      </c>
      <c r="C47" s="18">
        <f>(2749.0/B47*100)</f>
        <v/>
      </c>
      <c r="D47" s="19" t="n">
        <v>356</v>
      </c>
      <c r="E47" s="18" t="n">
        <v>34.79151782</v>
      </c>
      <c r="F47" s="20" t="n">
        <v>2.44699475</v>
      </c>
      <c r="G47" s="18" t="n">
        <v>58.7409329</v>
      </c>
      <c r="H47" s="20" t="n">
        <v>2.51612842</v>
      </c>
      <c r="I47" s="18" t="s">
        <v>349</v>
      </c>
      <c r="J47" s="20" t="s">
        <v>349</v>
      </c>
      <c r="K47" s="18" t="n">
        <v>1.38697937</v>
      </c>
      <c r="L47" s="20" t="n">
        <v>0.64014801</v>
      </c>
      <c r="M47" s="18" t="n">
        <v>0</v>
      </c>
      <c r="N47" s="20" t="n">
        <v>0</v>
      </c>
      <c r="O47" s="18" t="n">
        <v>0</v>
      </c>
      <c r="P47" s="20" t="n">
        <v>0</v>
      </c>
      <c r="Q47" s="18" t="n">
        <v>5.08056991</v>
      </c>
      <c r="R47" s="20" t="n">
        <v>1.1789787</v>
      </c>
    </row>
    <row r="48" spans="1:18">
      <c r="A48" s="15" t="s">
        <v>390</v>
      </c>
      <c r="B48" s="17" t="n">
        <v>5159</v>
      </c>
      <c r="C48" s="18">
        <f>(4520.0/B48*100)</f>
        <v/>
      </c>
      <c r="D48" s="19" t="n">
        <v>639</v>
      </c>
      <c r="E48" s="18" t="n">
        <v>27.04944213</v>
      </c>
      <c r="F48" s="20" t="n">
        <v>2.14594722</v>
      </c>
      <c r="G48" s="18" t="n">
        <v>69.93899918</v>
      </c>
      <c r="H48" s="20" t="n">
        <v>2.29350345</v>
      </c>
      <c r="I48" s="18" t="s">
        <v>349</v>
      </c>
      <c r="J48" s="20" t="s">
        <v>349</v>
      </c>
      <c r="K48" s="18" t="n">
        <v>1.25348019</v>
      </c>
      <c r="L48" s="20" t="n">
        <v>0.5281358900000001</v>
      </c>
      <c r="M48" s="18" t="n">
        <v>0.117234</v>
      </c>
      <c r="N48" s="20" t="n">
        <v>0.11707859</v>
      </c>
      <c r="O48" s="18" t="n">
        <v>0</v>
      </c>
      <c r="P48" s="20" t="n">
        <v>0</v>
      </c>
      <c r="Q48" s="18" t="n">
        <v>1.6408445</v>
      </c>
      <c r="R48" s="20" t="n">
        <v>0.71273955</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(4957.0/B50*100)</f>
        <v/>
      </c>
      <c r="D50" s="19" t="n">
        <v>680</v>
      </c>
      <c r="E50" s="18" t="n">
        <v>58.33995821</v>
      </c>
      <c r="F50" s="20" t="n">
        <v>2.83547801</v>
      </c>
      <c r="G50" s="18" t="n">
        <v>37.33698913</v>
      </c>
      <c r="H50" s="20" t="n">
        <v>2.78333171</v>
      </c>
      <c r="I50" s="18" t="s">
        <v>349</v>
      </c>
      <c r="J50" s="20" t="s">
        <v>349</v>
      </c>
      <c r="K50" s="18" t="n">
        <v>2.40068261</v>
      </c>
      <c r="L50" s="20" t="n">
        <v>0.89456276</v>
      </c>
      <c r="M50" s="18" t="n">
        <v>0.57951706</v>
      </c>
      <c r="N50" s="20" t="n">
        <v>0.36941162</v>
      </c>
      <c r="O50" s="18" t="n">
        <v>0</v>
      </c>
      <c r="P50" s="20" t="n">
        <v>0</v>
      </c>
      <c r="Q50" s="18" t="n">
        <v>1.34285299</v>
      </c>
      <c r="R50" s="20" t="n">
        <v>0.56160951</v>
      </c>
    </row>
    <row r="51" spans="1:18">
      <c r="A51" s="15" t="s">
        <v>393</v>
      </c>
      <c r="B51" s="17" t="n">
        <v>3372</v>
      </c>
      <c r="C51" s="18">
        <f>(3017.0/B51*100)</f>
        <v/>
      </c>
      <c r="D51" s="19" t="n">
        <v>355</v>
      </c>
      <c r="E51" s="18" t="n">
        <v>47.95337595</v>
      </c>
      <c r="F51" s="20" t="n">
        <v>2.84154823</v>
      </c>
      <c r="G51" s="18" t="n">
        <v>50.17644608</v>
      </c>
      <c r="H51" s="20" t="n">
        <v>2.83451388</v>
      </c>
      <c r="I51" s="18" t="s">
        <v>349</v>
      </c>
      <c r="J51" s="20" t="s">
        <v>349</v>
      </c>
      <c r="K51" s="18" t="n">
        <v>0.5992659</v>
      </c>
      <c r="L51" s="20" t="n">
        <v>0.43747343</v>
      </c>
      <c r="M51" s="18" t="n">
        <v>0</v>
      </c>
      <c r="N51" s="20" t="n">
        <v>0</v>
      </c>
      <c r="O51" s="18" t="n">
        <v>0</v>
      </c>
      <c r="P51" s="20" t="n">
        <v>0</v>
      </c>
      <c r="Q51" s="18" t="n">
        <v>1.27091207</v>
      </c>
      <c r="R51" s="20" t="n">
        <v>0.58802763</v>
      </c>
    </row>
    <row r="52" spans="1:18">
      <c r="A52" s="15" t="s">
        <v>394</v>
      </c>
      <c r="B52" s="17" t="n">
        <v>2796</v>
      </c>
      <c r="C52" s="18">
        <f>(2456.0/B52*100)</f>
        <v/>
      </c>
      <c r="D52" s="19" t="n">
        <v>340</v>
      </c>
      <c r="E52" s="18" t="n">
        <v>25.55571169</v>
      </c>
      <c r="F52" s="20" t="n">
        <v>2.35309151</v>
      </c>
      <c r="G52" s="18" t="n">
        <v>69.87136866</v>
      </c>
      <c r="H52" s="20" t="n">
        <v>2.61746584</v>
      </c>
      <c r="I52" s="18" t="s">
        <v>349</v>
      </c>
      <c r="J52" s="20" t="s">
        <v>349</v>
      </c>
      <c r="K52" s="18" t="n">
        <v>1.20864106</v>
      </c>
      <c r="L52" s="20" t="n">
        <v>0.6138993</v>
      </c>
      <c r="M52" s="18" t="n">
        <v>0</v>
      </c>
      <c r="N52" s="20" t="n">
        <v>0</v>
      </c>
      <c r="O52" s="18" t="n">
        <v>0</v>
      </c>
      <c r="P52" s="20" t="n">
        <v>0</v>
      </c>
      <c r="Q52" s="18" t="n">
        <v>3.36427859</v>
      </c>
      <c r="R52" s="20" t="n">
        <v>0.74929714</v>
      </c>
    </row>
    <row r="53" spans="1:18">
      <c r="A53" s="15" t="s">
        <v>395</v>
      </c>
      <c r="B53" s="17" t="n">
        <v>2811</v>
      </c>
      <c r="C53" s="18">
        <f>(2471.0/B53*100)</f>
        <v/>
      </c>
      <c r="D53" s="19" t="n">
        <v>340</v>
      </c>
      <c r="E53" s="18" t="n">
        <v>34.14417491</v>
      </c>
      <c r="F53" s="20" t="n">
        <v>2.53052667</v>
      </c>
      <c r="G53" s="18" t="n">
        <v>60.8924054</v>
      </c>
      <c r="H53" s="20" t="n">
        <v>2.62886048</v>
      </c>
      <c r="I53" s="18" t="s">
        <v>349</v>
      </c>
      <c r="J53" s="20" t="s">
        <v>349</v>
      </c>
      <c r="K53" s="18" t="n">
        <v>1.33358223</v>
      </c>
      <c r="L53" s="20" t="n">
        <v>0.69944764</v>
      </c>
      <c r="M53" s="18" t="n">
        <v>0</v>
      </c>
      <c r="N53" s="20" t="n">
        <v>0</v>
      </c>
      <c r="O53" s="18" t="n">
        <v>0</v>
      </c>
      <c r="P53" s="20" t="n">
        <v>0</v>
      </c>
      <c r="Q53" s="18" t="n">
        <v>3.62983746</v>
      </c>
      <c r="R53" s="20" t="n">
        <v>0.9974706800000001</v>
      </c>
    </row>
    <row r="54" spans="1:18">
      <c r="A54" s="15" t="s">
        <v>396</v>
      </c>
      <c r="B54" s="17" t="n">
        <v>2266</v>
      </c>
      <c r="C54" s="18">
        <f>(1929.0/B54*100)</f>
        <v/>
      </c>
      <c r="D54" s="19" t="n">
        <v>337</v>
      </c>
      <c r="E54" s="18" t="n">
        <v>65.37959782</v>
      </c>
      <c r="F54" s="20" t="n">
        <v>2.63226928</v>
      </c>
      <c r="G54" s="18" t="n">
        <v>19.64560272</v>
      </c>
      <c r="H54" s="20" t="n">
        <v>2.2311603</v>
      </c>
      <c r="I54" s="18" t="s">
        <v>349</v>
      </c>
      <c r="J54" s="20" t="s">
        <v>349</v>
      </c>
      <c r="K54" s="18" t="n">
        <v>9.257515400000001</v>
      </c>
      <c r="L54" s="20" t="n">
        <v>1.78537866</v>
      </c>
      <c r="M54" s="18" t="n">
        <v>0.59815817</v>
      </c>
      <c r="N54" s="20" t="n">
        <v>0.46561503</v>
      </c>
      <c r="O54" s="18" t="n">
        <v>0</v>
      </c>
      <c r="P54" s="20" t="n">
        <v>0</v>
      </c>
      <c r="Q54" s="18" t="n">
        <v>5.11912589</v>
      </c>
      <c r="R54" s="20" t="n">
        <v>1.37522825</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(2351.0/B56*100)</f>
        <v/>
      </c>
      <c r="D56" s="19" t="n">
        <v>333</v>
      </c>
      <c r="E56" s="18" t="n">
        <v>24.45169062</v>
      </c>
      <c r="F56" s="20" t="n">
        <v>2.67000859</v>
      </c>
      <c r="G56" s="18" t="n">
        <v>74.07047227</v>
      </c>
      <c r="H56" s="20" t="n">
        <v>2.66018747</v>
      </c>
      <c r="I56" s="18" t="s">
        <v>349</v>
      </c>
      <c r="J56" s="20" t="s">
        <v>349</v>
      </c>
      <c r="K56" s="18" t="n">
        <v>0.16876403</v>
      </c>
      <c r="L56" s="20" t="n">
        <v>0.16846508</v>
      </c>
      <c r="M56" s="18" t="n">
        <v>0</v>
      </c>
      <c r="N56" s="20" t="n">
        <v>0</v>
      </c>
      <c r="O56" s="18" t="n">
        <v>0</v>
      </c>
      <c r="P56" s="20" t="n">
        <v>0</v>
      </c>
      <c r="Q56" s="18" t="n">
        <v>1.30907308</v>
      </c>
      <c r="R56" s="20" t="n">
        <v>0.64660339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(2907.0/B61*100)</f>
        <v/>
      </c>
      <c r="D61" s="19" t="n">
        <v>417</v>
      </c>
      <c r="E61" s="18" t="n">
        <v>38.86367784</v>
      </c>
      <c r="F61" s="20" t="n">
        <v>2.65191774</v>
      </c>
      <c r="G61" s="18" t="n">
        <v>59.90805697</v>
      </c>
      <c r="H61" s="20" t="n">
        <v>2.68053395</v>
      </c>
      <c r="I61" s="18" t="s">
        <v>349</v>
      </c>
      <c r="J61" s="20" t="s">
        <v>349</v>
      </c>
      <c r="K61" s="18" t="n">
        <v>0.24042992</v>
      </c>
      <c r="L61" s="20" t="n">
        <v>0.24160073</v>
      </c>
      <c r="M61" s="18" t="n">
        <v>0</v>
      </c>
      <c r="N61" s="20" t="n">
        <v>0</v>
      </c>
      <c r="O61" s="18" t="n">
        <v>0</v>
      </c>
      <c r="P61" s="20" t="n">
        <v>0</v>
      </c>
      <c r="Q61" s="18" t="n">
        <v>0.98783528</v>
      </c>
      <c r="R61" s="20" t="n">
        <v>0.50033378</v>
      </c>
    </row>
    <row r="62" spans="1:18">
      <c r="A62" s="15" t="s">
        <v>404</v>
      </c>
      <c r="B62" s="17" t="n">
        <v>2246</v>
      </c>
      <c r="C62" s="18">
        <f>(1952.0/B62*100)</f>
        <v/>
      </c>
      <c r="D62" s="19" t="n">
        <v>294</v>
      </c>
      <c r="E62" s="18" t="n">
        <v>20.03149382</v>
      </c>
      <c r="F62" s="20" t="n">
        <v>2.44714392</v>
      </c>
      <c r="G62" s="18" t="n">
        <v>79.28157149</v>
      </c>
      <c r="H62" s="20" t="n">
        <v>2.57562137</v>
      </c>
      <c r="I62" s="18" t="s">
        <v>349</v>
      </c>
      <c r="J62" s="20" t="s">
        <v>349</v>
      </c>
      <c r="K62" s="18" t="n">
        <v>0</v>
      </c>
      <c r="L62" s="20" t="n">
        <v>0</v>
      </c>
      <c r="M62" s="18" t="n">
        <v>0.34133619</v>
      </c>
      <c r="N62" s="20" t="n">
        <v>0.3416333</v>
      </c>
      <c r="O62" s="18" t="n">
        <v>0</v>
      </c>
      <c r="P62" s="20" t="n">
        <v>0</v>
      </c>
      <c r="Q62" s="18" t="n">
        <v>0.3455985</v>
      </c>
      <c r="R62" s="20" t="n">
        <v>0.34838044</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(2545.0/B66*100)</f>
        <v/>
      </c>
      <c r="D66" s="19" t="n">
        <v>349</v>
      </c>
      <c r="E66" s="18" t="n">
        <v>32.41434691</v>
      </c>
      <c r="F66" s="20" t="n">
        <v>2.62357704</v>
      </c>
      <c r="G66" s="18" t="n">
        <v>58.68702109</v>
      </c>
      <c r="H66" s="20" t="n">
        <v>2.72475281</v>
      </c>
      <c r="I66" s="18" t="s">
        <v>349</v>
      </c>
      <c r="J66" s="20" t="s">
        <v>349</v>
      </c>
      <c r="K66" s="18" t="n">
        <v>1.3812165</v>
      </c>
      <c r="L66" s="20" t="n">
        <v>0.50039993</v>
      </c>
      <c r="M66" s="18" t="n">
        <v>0</v>
      </c>
      <c r="N66" s="20" t="n">
        <v>0</v>
      </c>
      <c r="O66" s="18" t="n">
        <v>0</v>
      </c>
      <c r="P66" s="20" t="n">
        <v>0</v>
      </c>
      <c r="Q66" s="18" t="n">
        <v>7.51741549</v>
      </c>
      <c r="R66" s="20" t="n">
        <v>1.33679436</v>
      </c>
    </row>
    <row r="67" spans="1:18">
      <c r="A67" s="15" t="s">
        <v>409</v>
      </c>
      <c r="B67" s="17" t="n">
        <v>3511</v>
      </c>
      <c r="C67" s="18">
        <f>(3133.0/B67*100)</f>
        <v/>
      </c>
      <c r="D67" s="19" t="n">
        <v>378</v>
      </c>
      <c r="E67" s="18" t="n">
        <v>53.26145452</v>
      </c>
      <c r="F67" s="20" t="n">
        <v>2.88657728</v>
      </c>
      <c r="G67" s="18" t="n">
        <v>43.70135835</v>
      </c>
      <c r="H67" s="20" t="n">
        <v>3.13801298</v>
      </c>
      <c r="I67" s="18" t="s">
        <v>349</v>
      </c>
      <c r="J67" s="20" t="s">
        <v>349</v>
      </c>
      <c r="K67" s="18" t="n">
        <v>0.46782161</v>
      </c>
      <c r="L67" s="20" t="n">
        <v>0.37332581</v>
      </c>
      <c r="M67" s="18" t="n">
        <v>0.21606062</v>
      </c>
      <c r="N67" s="20" t="n">
        <v>0.21515752</v>
      </c>
      <c r="O67" s="18" t="n">
        <v>0</v>
      </c>
      <c r="P67" s="20" t="n">
        <v>0</v>
      </c>
      <c r="Q67" s="18" t="n">
        <v>2.35330491</v>
      </c>
      <c r="R67" s="20" t="n">
        <v>0.87792785</v>
      </c>
    </row>
    <row r="68" spans="1:18">
      <c r="A68" s="15" t="s">
        <v>410</v>
      </c>
      <c r="B68" s="17" t="n">
        <v>6049</v>
      </c>
      <c r="C68" s="18">
        <f>(5049.0/B68*100)</f>
        <v/>
      </c>
      <c r="D68" s="19" t="n">
        <v>1000</v>
      </c>
      <c r="E68" s="18" t="n">
        <v>44.49473513</v>
      </c>
      <c r="F68" s="20" t="n">
        <v>1.62775621</v>
      </c>
      <c r="G68" s="18" t="n">
        <v>48.60297886</v>
      </c>
      <c r="H68" s="20" t="n">
        <v>1.61955304</v>
      </c>
      <c r="I68" s="18" t="s">
        <v>349</v>
      </c>
      <c r="J68" s="20" t="s">
        <v>349</v>
      </c>
      <c r="K68" s="18" t="n">
        <v>3.17168224</v>
      </c>
      <c r="L68" s="20" t="n">
        <v>0.53182039</v>
      </c>
      <c r="M68" s="18" t="n">
        <v>0.09744644</v>
      </c>
      <c r="N68" s="20" t="n">
        <v>0.09786785000000001</v>
      </c>
      <c r="O68" s="18" t="n">
        <v>0</v>
      </c>
      <c r="P68" s="20" t="n">
        <v>0</v>
      </c>
      <c r="Q68" s="18" t="n">
        <v>3.63315732</v>
      </c>
      <c r="R68" s="20" t="n">
        <v>0.65504801</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(2550.0/B70*100)</f>
        <v/>
      </c>
      <c r="D70" s="19" t="n">
        <v>379</v>
      </c>
      <c r="E70" s="18" t="n">
        <v>32.50459587</v>
      </c>
      <c r="F70" s="20" t="n">
        <v>2.32090701</v>
      </c>
      <c r="G70" s="18" t="n">
        <v>65.2137614</v>
      </c>
      <c r="H70" s="20" t="n">
        <v>2.39787395</v>
      </c>
      <c r="I70" s="18" t="s">
        <v>349</v>
      </c>
      <c r="J70" s="20" t="s">
        <v>349</v>
      </c>
      <c r="K70" s="18" t="n">
        <v>0</v>
      </c>
      <c r="L70" s="20" t="n">
        <v>0</v>
      </c>
      <c r="M70" s="18" t="n">
        <v>0.50387632</v>
      </c>
      <c r="N70" s="20" t="n">
        <v>0.35517304</v>
      </c>
      <c r="O70" s="18" t="n">
        <v>0</v>
      </c>
      <c r="P70" s="20" t="n">
        <v>0</v>
      </c>
      <c r="Q70" s="18" t="n">
        <v>1.77776642</v>
      </c>
      <c r="R70" s="20" t="n">
        <v>0.59685976</v>
      </c>
    </row>
    <row r="71" spans="1:18">
      <c r="A71" s="15" t="s">
        <v>413</v>
      </c>
      <c r="B71" s="17" t="n">
        <v>3142</v>
      </c>
      <c r="C71" s="18">
        <f>(2754.0/B71*100)</f>
        <v/>
      </c>
      <c r="D71" s="19" t="n">
        <v>388</v>
      </c>
      <c r="E71" s="18" t="n">
        <v>16.2611404</v>
      </c>
      <c r="F71" s="20" t="n">
        <v>1.85621318</v>
      </c>
      <c r="G71" s="18" t="n">
        <v>83.04539481</v>
      </c>
      <c r="H71" s="20" t="n">
        <v>1.83766341</v>
      </c>
      <c r="I71" s="18" t="s">
        <v>349</v>
      </c>
      <c r="J71" s="20" t="s">
        <v>349</v>
      </c>
      <c r="K71" s="18" t="n">
        <v>0.15207417</v>
      </c>
      <c r="L71" s="20" t="n">
        <v>0.15462322</v>
      </c>
      <c r="M71" s="18" t="n">
        <v>0</v>
      </c>
      <c r="N71" s="20" t="n">
        <v>0</v>
      </c>
      <c r="O71" s="18" t="n">
        <v>0</v>
      </c>
      <c r="P71" s="20" t="n">
        <v>0</v>
      </c>
      <c r="Q71" s="18" t="n">
        <v>0.54139063</v>
      </c>
      <c r="R71" s="20" t="n">
        <v>0.38427371</v>
      </c>
    </row>
    <row r="72" spans="1:18">
      <c r="A72" s="15" t="s">
        <v>414</v>
      </c>
      <c r="B72" s="17" t="n">
        <v>3889</v>
      </c>
      <c r="C72" s="18">
        <f>(3420.0/B72*100)</f>
        <v/>
      </c>
      <c r="D72" s="19" t="n">
        <v>469</v>
      </c>
      <c r="E72" s="18" t="n">
        <v>24.4825554</v>
      </c>
      <c r="F72" s="20" t="n">
        <v>2.28129679</v>
      </c>
      <c r="G72" s="18" t="n">
        <v>74.50510346</v>
      </c>
      <c r="H72" s="20" t="n">
        <v>2.40196662</v>
      </c>
      <c r="I72" s="18" t="s">
        <v>349</v>
      </c>
      <c r="J72" s="20" t="s">
        <v>349</v>
      </c>
      <c r="K72" s="18" t="n">
        <v>0.39093757</v>
      </c>
      <c r="L72" s="20" t="n">
        <v>0.30508637</v>
      </c>
      <c r="M72" s="18" t="n">
        <v>0</v>
      </c>
      <c r="N72" s="20" t="n">
        <v>0</v>
      </c>
      <c r="O72" s="18" t="n">
        <v>0</v>
      </c>
      <c r="P72" s="20" t="n">
        <v>0</v>
      </c>
      <c r="Q72" s="18" t="n">
        <v>0.62140357</v>
      </c>
      <c r="R72" s="20" t="n">
        <v>0.32184547</v>
      </c>
    </row>
    <row r="73" spans="1:18">
      <c r="A73" s="15" t="s">
        <v>415</v>
      </c>
      <c r="B73" s="17" t="n">
        <v>3597</v>
      </c>
      <c r="C73" s="18">
        <f>(3180.0/B73*100)</f>
        <v/>
      </c>
      <c r="D73" s="19" t="n">
        <v>417</v>
      </c>
      <c r="E73" s="18" t="n">
        <v>47.7527782</v>
      </c>
      <c r="F73" s="20" t="n">
        <v>2.78850789</v>
      </c>
      <c r="G73" s="18" t="n">
        <v>51.01416114</v>
      </c>
      <c r="H73" s="20" t="n">
        <v>2.56958238</v>
      </c>
      <c r="I73" s="18" t="s">
        <v>349</v>
      </c>
      <c r="J73" s="20" t="s">
        <v>349</v>
      </c>
      <c r="K73" s="18" t="n">
        <v>0</v>
      </c>
      <c r="L73" s="20" t="n">
        <v>0</v>
      </c>
      <c r="M73" s="18" t="n">
        <v>0</v>
      </c>
      <c r="N73" s="20" t="n">
        <v>0</v>
      </c>
      <c r="O73" s="18" t="n">
        <v>0</v>
      </c>
      <c r="P73" s="20" t="n">
        <v>0</v>
      </c>
      <c r="Q73" s="18" t="n">
        <v>1.23306065</v>
      </c>
      <c r="R73" s="20" t="n">
        <v>0.79207278</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(2146.0/B75*100)</f>
        <v/>
      </c>
      <c r="D75" s="19" t="n">
        <v>260</v>
      </c>
      <c r="E75" s="18" t="n">
        <v>53.18774827</v>
      </c>
      <c r="F75" s="20" t="n">
        <v>3.49862957</v>
      </c>
      <c r="G75" s="18" t="n">
        <v>39.4106388</v>
      </c>
      <c r="H75" s="20" t="n">
        <v>3.56898695</v>
      </c>
      <c r="I75" s="18" t="s">
        <v>349</v>
      </c>
      <c r="J75" s="20" t="s">
        <v>349</v>
      </c>
      <c r="K75" s="18" t="n">
        <v>2.97447365</v>
      </c>
      <c r="L75" s="20" t="n">
        <v>0.98587348</v>
      </c>
      <c r="M75" s="18" t="n">
        <v>0.4465328</v>
      </c>
      <c r="N75" s="20" t="n">
        <v>0.44155348</v>
      </c>
      <c r="O75" s="18" t="n">
        <v>0</v>
      </c>
      <c r="P75" s="20" t="n">
        <v>0</v>
      </c>
      <c r="Q75" s="18" t="n">
        <v>3.98060647</v>
      </c>
      <c r="R75" s="20" t="n">
        <v>1.20017099</v>
      </c>
    </row>
    <row r="76" spans="1:18">
      <c r="A76" s="15" t="s">
        <v>418</v>
      </c>
      <c r="B76" s="17" t="n">
        <v>7052</v>
      </c>
      <c r="C76" s="18">
        <f>(6187.0/B76*100)</f>
        <v/>
      </c>
      <c r="D76" s="19" t="n">
        <v>865</v>
      </c>
      <c r="E76" s="18" t="n">
        <v>39.67191765</v>
      </c>
      <c r="F76" s="20" t="n">
        <v>1.98288667</v>
      </c>
      <c r="G76" s="18" t="n">
        <v>56.61032442</v>
      </c>
      <c r="H76" s="20" t="n">
        <v>1.95650122</v>
      </c>
      <c r="I76" s="18" t="s">
        <v>349</v>
      </c>
      <c r="J76" s="20" t="s">
        <v>349</v>
      </c>
      <c r="K76" s="18" t="n">
        <v>0.79951438</v>
      </c>
      <c r="L76" s="20" t="n">
        <v>0.38332291</v>
      </c>
      <c r="M76" s="18" t="n">
        <v>0.39986819</v>
      </c>
      <c r="N76" s="20" t="n">
        <v>0.31279887</v>
      </c>
      <c r="O76" s="18" t="n">
        <v>0</v>
      </c>
      <c r="P76" s="20" t="n">
        <v>0</v>
      </c>
      <c r="Q76" s="18" t="n">
        <v>2.51837537</v>
      </c>
      <c r="R76" s="20" t="n">
        <v>0.60816896</v>
      </c>
    </row>
    <row r="77" spans="1:18">
      <c r="A77" s="15" t="s">
        <v>419</v>
      </c>
      <c r="B77" s="17" t="n">
        <v>2908</v>
      </c>
      <c r="C77" s="18">
        <f>(2554.0/B77*100)</f>
        <v/>
      </c>
      <c r="D77" s="19" t="n">
        <v>354</v>
      </c>
      <c r="E77" s="18" t="n">
        <v>42.98835108</v>
      </c>
      <c r="F77" s="20" t="n">
        <v>2.20115455</v>
      </c>
      <c r="G77" s="18" t="n">
        <v>47.62587968</v>
      </c>
      <c r="H77" s="20" t="n">
        <v>2.34156359</v>
      </c>
      <c r="I77" s="18" t="s">
        <v>349</v>
      </c>
      <c r="J77" s="20" t="s">
        <v>349</v>
      </c>
      <c r="K77" s="18" t="n">
        <v>2.33489232</v>
      </c>
      <c r="L77" s="20" t="n">
        <v>0.98133017</v>
      </c>
      <c r="M77" s="18" t="n">
        <v>2.67490724</v>
      </c>
      <c r="N77" s="20" t="n">
        <v>0.87870511</v>
      </c>
      <c r="O77" s="18" t="n">
        <v>0</v>
      </c>
      <c r="P77" s="20" t="n">
        <v>0</v>
      </c>
      <c r="Q77" s="18" t="n">
        <v>4.37596968</v>
      </c>
      <c r="R77" s="20" t="n">
        <v>1.27198747</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(3659.0/B81*100)</f>
        <v/>
      </c>
      <c r="D81" s="19" t="n">
        <v>504</v>
      </c>
      <c r="E81" s="18" t="n">
        <v>48.36981068</v>
      </c>
      <c r="F81" s="20" t="n">
        <v>3.07640617</v>
      </c>
      <c r="G81" s="18" t="n">
        <v>51.00398754</v>
      </c>
      <c r="H81" s="20" t="n">
        <v>3.0322975</v>
      </c>
      <c r="I81" s="18" t="s">
        <v>349</v>
      </c>
      <c r="J81" s="20" t="s">
        <v>349</v>
      </c>
      <c r="K81" s="18" t="n">
        <v>0</v>
      </c>
      <c r="L81" s="20" t="n">
        <v>0</v>
      </c>
      <c r="M81" s="18" t="n">
        <v>0</v>
      </c>
      <c r="N81" s="20" t="n">
        <v>0</v>
      </c>
      <c r="O81" s="18" t="n">
        <v>0</v>
      </c>
      <c r="P81" s="20" t="n">
        <v>0</v>
      </c>
      <c r="Q81" s="18" t="n">
        <v>0.62620178</v>
      </c>
      <c r="R81" s="20" t="n">
        <v>0.37636714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(6431.0/B7*100)</f>
        <v/>
      </c>
      <c r="D7" s="19" t="n">
        <v>936</v>
      </c>
      <c r="E7" s="18" t="n">
        <v>62.24293559</v>
      </c>
      <c r="F7" s="20" t="n">
        <v>1.74748745</v>
      </c>
      <c r="G7" s="18" t="n">
        <v>29.1860253</v>
      </c>
      <c r="H7" s="20" t="n">
        <v>1.86763258</v>
      </c>
      <c r="I7" s="18" t="s">
        <v>349</v>
      </c>
      <c r="J7" s="20" t="s">
        <v>349</v>
      </c>
      <c r="K7" s="18" t="n">
        <v>1.02542997</v>
      </c>
      <c r="L7" s="20" t="n">
        <v>0.43582204</v>
      </c>
      <c r="M7" s="18" t="n">
        <v>0.40693181</v>
      </c>
      <c r="N7" s="20" t="n">
        <v>0.25591674</v>
      </c>
      <c r="O7" s="18" t="n">
        <v>0</v>
      </c>
      <c r="P7" s="20" t="n">
        <v>0</v>
      </c>
      <c r="Q7" s="18" t="n">
        <v>7.13867733</v>
      </c>
      <c r="R7" s="20" t="n">
        <v>0.82009593</v>
      </c>
    </row>
    <row r="8" spans="1:18">
      <c r="A8" s="15" t="s">
        <v>350</v>
      </c>
      <c r="B8" s="17" t="n">
        <v>3564</v>
      </c>
      <c r="C8" s="18">
        <f>(3126.0/B8*100)</f>
        <v/>
      </c>
      <c r="D8" s="19" t="n">
        <v>438</v>
      </c>
      <c r="E8" s="18" t="n">
        <v>59.1130634</v>
      </c>
      <c r="F8" s="20" t="n">
        <v>2.67399525</v>
      </c>
      <c r="G8" s="18" t="n">
        <v>31.63674656</v>
      </c>
      <c r="H8" s="20" t="n">
        <v>2.58480667</v>
      </c>
      <c r="I8" s="18" t="s">
        <v>349</v>
      </c>
      <c r="J8" s="20" t="s">
        <v>349</v>
      </c>
      <c r="K8" s="18" t="n">
        <v>0.83923151</v>
      </c>
      <c r="L8" s="20" t="n">
        <v>0.59387705</v>
      </c>
      <c r="M8" s="18" t="n">
        <v>0</v>
      </c>
      <c r="N8" s="20" t="n">
        <v>0</v>
      </c>
      <c r="O8" s="18" t="n">
        <v>0</v>
      </c>
      <c r="P8" s="20" t="n">
        <v>0</v>
      </c>
      <c r="Q8" s="18" t="n">
        <v>8.41095853</v>
      </c>
      <c r="R8" s="20" t="n">
        <v>1.61190315</v>
      </c>
    </row>
    <row r="9" spans="1:18">
      <c r="A9" s="15" t="s">
        <v>351</v>
      </c>
      <c r="B9" s="17" t="n">
        <v>4899</v>
      </c>
      <c r="C9" s="18">
        <f>(4335.0/B9*100)</f>
        <v/>
      </c>
      <c r="D9" s="19" t="n">
        <v>564</v>
      </c>
      <c r="E9" s="18" t="n">
        <v>53.34315264</v>
      </c>
      <c r="F9" s="20" t="n">
        <v>1.98230987</v>
      </c>
      <c r="G9" s="18" t="n">
        <v>40.97224603</v>
      </c>
      <c r="H9" s="20" t="n">
        <v>2.06662404</v>
      </c>
      <c r="I9" s="18" t="s">
        <v>349</v>
      </c>
      <c r="J9" s="20" t="s">
        <v>349</v>
      </c>
      <c r="K9" s="18" t="n">
        <v>0.51195606</v>
      </c>
      <c r="L9" s="20" t="n">
        <v>0.32187245</v>
      </c>
      <c r="M9" s="18" t="n">
        <v>0.74237371</v>
      </c>
      <c r="N9" s="20" t="n">
        <v>0.39629521</v>
      </c>
      <c r="O9" s="18" t="n">
        <v>0</v>
      </c>
      <c r="P9" s="20" t="n">
        <v>0</v>
      </c>
      <c r="Q9" s="18" t="n">
        <v>4.43027157</v>
      </c>
      <c r="R9" s="20" t="n">
        <v>0.9231483</v>
      </c>
    </row>
    <row r="10" spans="1:18">
      <c r="A10" s="15" t="s">
        <v>352</v>
      </c>
      <c r="B10" s="17" t="n">
        <v>10036</v>
      </c>
      <c r="C10" s="18">
        <f>(8814.0/B10*100)</f>
        <v/>
      </c>
      <c r="D10" s="19" t="n">
        <v>1222</v>
      </c>
      <c r="E10" s="18" t="n">
        <v>57.19763812</v>
      </c>
      <c r="F10" s="20" t="n">
        <v>1.89630377</v>
      </c>
      <c r="G10" s="18" t="n">
        <v>39.63429173</v>
      </c>
      <c r="H10" s="20" t="n">
        <v>1.86819292</v>
      </c>
      <c r="I10" s="18" t="s">
        <v>349</v>
      </c>
      <c r="J10" s="20" t="s">
        <v>349</v>
      </c>
      <c r="K10" s="18" t="n">
        <v>0.68917618</v>
      </c>
      <c r="L10" s="20" t="n">
        <v>0.28936996</v>
      </c>
      <c r="M10" s="18" t="n">
        <v>0.18110703</v>
      </c>
      <c r="N10" s="20" t="n">
        <v>0.11705324</v>
      </c>
      <c r="O10" s="18" t="n">
        <v>0</v>
      </c>
      <c r="P10" s="20" t="n">
        <v>0</v>
      </c>
      <c r="Q10" s="18" t="n">
        <v>2.29778694</v>
      </c>
      <c r="R10" s="20" t="n">
        <v>0.56242869</v>
      </c>
    </row>
    <row r="11" spans="1:18">
      <c r="A11" s="15" t="s">
        <v>353</v>
      </c>
      <c r="B11" s="17" t="n">
        <v>3553</v>
      </c>
      <c r="C11" s="18">
        <f>(3145.0/B11*100)</f>
        <v/>
      </c>
      <c r="D11" s="19" t="n">
        <v>408</v>
      </c>
      <c r="E11" s="18" t="n">
        <v>69.59598108</v>
      </c>
      <c r="F11" s="20" t="n">
        <v>2.5953007</v>
      </c>
      <c r="G11" s="18" t="n">
        <v>14.19048997</v>
      </c>
      <c r="H11" s="20" t="n">
        <v>2.17269909</v>
      </c>
      <c r="I11" s="18" t="s">
        <v>349</v>
      </c>
      <c r="J11" s="20" t="s">
        <v>349</v>
      </c>
      <c r="K11" s="18" t="n">
        <v>1.93166057</v>
      </c>
      <c r="L11" s="20" t="n">
        <v>0.65389642</v>
      </c>
      <c r="M11" s="18" t="n">
        <v>0</v>
      </c>
      <c r="N11" s="20" t="n">
        <v>0</v>
      </c>
      <c r="O11" s="18" t="n">
        <v>0</v>
      </c>
      <c r="P11" s="20" t="n">
        <v>0</v>
      </c>
      <c r="Q11" s="18" t="n">
        <v>14.28186838</v>
      </c>
      <c r="R11" s="20" t="n">
        <v>2.39560152</v>
      </c>
    </row>
    <row r="12" spans="1:18">
      <c r="A12" s="15" t="s">
        <v>354</v>
      </c>
      <c r="B12" s="17" t="n">
        <v>3472</v>
      </c>
      <c r="C12" s="18">
        <f>(3047.0/B12*100)</f>
        <v/>
      </c>
      <c r="D12" s="19" t="n">
        <v>425</v>
      </c>
      <c r="E12" s="18" t="n">
        <v>60.95922458</v>
      </c>
      <c r="F12" s="20" t="n">
        <v>2.82785359</v>
      </c>
      <c r="G12" s="18" t="n">
        <v>32.49122366</v>
      </c>
      <c r="H12" s="20" t="n">
        <v>2.63371845</v>
      </c>
      <c r="I12" s="18" t="s">
        <v>349</v>
      </c>
      <c r="J12" s="20" t="s">
        <v>349</v>
      </c>
      <c r="K12" s="18" t="n">
        <v>0.2452758</v>
      </c>
      <c r="L12" s="20" t="n">
        <v>0.14745327</v>
      </c>
      <c r="M12" s="18" t="n">
        <v>0.10403405</v>
      </c>
      <c r="N12" s="20" t="n">
        <v>0.10688985</v>
      </c>
      <c r="O12" s="18" t="n">
        <v>0</v>
      </c>
      <c r="P12" s="20" t="n">
        <v>0</v>
      </c>
      <c r="Q12" s="18" t="n">
        <v>6.2002419</v>
      </c>
      <c r="R12" s="20" t="n">
        <v>1.50748622</v>
      </c>
    </row>
    <row r="13" spans="1:18">
      <c r="A13" s="15" t="s">
        <v>355</v>
      </c>
      <c r="B13" s="17" t="n">
        <v>3559</v>
      </c>
      <c r="C13" s="18">
        <f>(3156.0/B13*100)</f>
        <v/>
      </c>
      <c r="D13" s="19" t="n">
        <v>403</v>
      </c>
      <c r="E13" s="18" t="n">
        <v>44.80678715</v>
      </c>
      <c r="F13" s="20" t="n">
        <v>2.91378595</v>
      </c>
      <c r="G13" s="18" t="n">
        <v>50.27525516</v>
      </c>
      <c r="H13" s="20" t="n">
        <v>2.92269879</v>
      </c>
      <c r="I13" s="18" t="s">
        <v>349</v>
      </c>
      <c r="J13" s="20" t="s">
        <v>349</v>
      </c>
      <c r="K13" s="18" t="n">
        <v>0.21983136</v>
      </c>
      <c r="L13" s="20" t="n">
        <v>0.12639773</v>
      </c>
      <c r="M13" s="18" t="n">
        <v>0.22125444</v>
      </c>
      <c r="N13" s="20" t="n">
        <v>0.22403144</v>
      </c>
      <c r="O13" s="18" t="n">
        <v>0</v>
      </c>
      <c r="P13" s="20" t="n">
        <v>0</v>
      </c>
      <c r="Q13" s="18" t="n">
        <v>4.4768719</v>
      </c>
      <c r="R13" s="20" t="n">
        <v>1.13887897</v>
      </c>
    </row>
    <row r="14" spans="1:18">
      <c r="A14" s="15" t="s">
        <v>356</v>
      </c>
      <c r="B14" s="17" t="n">
        <v>2799</v>
      </c>
      <c r="C14" s="18">
        <f>(2451.0/B14*100)</f>
        <v/>
      </c>
      <c r="D14" s="19" t="n">
        <v>348</v>
      </c>
      <c r="E14" s="18" t="n">
        <v>48.50915926</v>
      </c>
      <c r="F14" s="20" t="n">
        <v>3.12897802</v>
      </c>
      <c r="G14" s="18" t="n">
        <v>42.99446637</v>
      </c>
      <c r="H14" s="20" t="n">
        <v>2.85718852</v>
      </c>
      <c r="I14" s="18" t="s">
        <v>349</v>
      </c>
      <c r="J14" s="20" t="s">
        <v>349</v>
      </c>
      <c r="K14" s="18" t="n">
        <v>0.4683645</v>
      </c>
      <c r="L14" s="20" t="n">
        <v>0.46861214</v>
      </c>
      <c r="M14" s="18" t="n">
        <v>0</v>
      </c>
      <c r="N14" s="20" t="n">
        <v>0</v>
      </c>
      <c r="O14" s="18" t="n">
        <v>0</v>
      </c>
      <c r="P14" s="20" t="n">
        <v>0</v>
      </c>
      <c r="Q14" s="18" t="n">
        <v>8.028009880000001</v>
      </c>
      <c r="R14" s="20" t="n">
        <v>1.70759063</v>
      </c>
    </row>
    <row r="15" spans="1:18">
      <c r="A15" s="15" t="s">
        <v>357</v>
      </c>
      <c r="B15" s="17" t="n">
        <v>3019</v>
      </c>
      <c r="C15" s="18">
        <f>(2649.0/B15*100)</f>
        <v/>
      </c>
      <c r="D15" s="19" t="n">
        <v>370</v>
      </c>
      <c r="E15" s="18" t="n">
        <v>47.88305624</v>
      </c>
      <c r="F15" s="20" t="n">
        <v>2.52800444</v>
      </c>
      <c r="G15" s="18" t="n">
        <v>46.17883166</v>
      </c>
      <c r="H15" s="20" t="n">
        <v>2.61569943</v>
      </c>
      <c r="I15" s="18" t="s">
        <v>349</v>
      </c>
      <c r="J15" s="20" t="s">
        <v>349</v>
      </c>
      <c r="K15" s="18" t="n">
        <v>1.05667508</v>
      </c>
      <c r="L15" s="20" t="n">
        <v>0.5216991600000001</v>
      </c>
      <c r="M15" s="18" t="n">
        <v>0</v>
      </c>
      <c r="N15" s="20" t="n">
        <v>0</v>
      </c>
      <c r="O15" s="18" t="n">
        <v>0</v>
      </c>
      <c r="P15" s="20" t="n">
        <v>0</v>
      </c>
      <c r="Q15" s="18" t="n">
        <v>4.88143702</v>
      </c>
      <c r="R15" s="20" t="n">
        <v>1.221668</v>
      </c>
    </row>
    <row r="16" spans="1:18">
      <c r="A16" s="15" t="s">
        <v>358</v>
      </c>
      <c r="B16" s="17" t="n">
        <v>2997</v>
      </c>
      <c r="C16" s="18">
        <f>(2643.0/B16*100)</f>
        <v/>
      </c>
      <c r="D16" s="19" t="n">
        <v>354</v>
      </c>
      <c r="E16" s="18" t="n">
        <v>51.11005933</v>
      </c>
      <c r="F16" s="20" t="n">
        <v>2.679726</v>
      </c>
      <c r="G16" s="18" t="n">
        <v>38.35716529</v>
      </c>
      <c r="H16" s="20" t="n">
        <v>2.53317322</v>
      </c>
      <c r="I16" s="18" t="s">
        <v>349</v>
      </c>
      <c r="J16" s="20" t="s">
        <v>349</v>
      </c>
      <c r="K16" s="18" t="n">
        <v>2.51714158</v>
      </c>
      <c r="L16" s="20" t="n">
        <v>0.78708764</v>
      </c>
      <c r="M16" s="18" t="n">
        <v>0</v>
      </c>
      <c r="N16" s="20" t="n">
        <v>0</v>
      </c>
      <c r="O16" s="18" t="n">
        <v>0</v>
      </c>
      <c r="P16" s="20" t="n">
        <v>0</v>
      </c>
      <c r="Q16" s="18" t="n">
        <v>8.015633790000001</v>
      </c>
      <c r="R16" s="20" t="n">
        <v>1.45293308</v>
      </c>
    </row>
    <row r="17" spans="1:18">
      <c r="A17" s="15" t="s">
        <v>359</v>
      </c>
      <c r="B17" s="17" t="n">
        <v>3307</v>
      </c>
      <c r="C17" s="18">
        <f>(2928.0/B17*100)</f>
        <v/>
      </c>
      <c r="D17" s="19" t="n">
        <v>379</v>
      </c>
      <c r="E17" s="18" t="n">
        <v>48.82193186</v>
      </c>
      <c r="F17" s="20" t="n">
        <v>2.88559907</v>
      </c>
      <c r="G17" s="18" t="n">
        <v>44.85007981</v>
      </c>
      <c r="H17" s="20" t="n">
        <v>2.78805228</v>
      </c>
      <c r="I17" s="18" t="s">
        <v>349</v>
      </c>
      <c r="J17" s="20" t="s">
        <v>349</v>
      </c>
      <c r="K17" s="18" t="n">
        <v>0.72648198</v>
      </c>
      <c r="L17" s="20" t="n">
        <v>0.48308077</v>
      </c>
      <c r="M17" s="18" t="n">
        <v>0</v>
      </c>
      <c r="N17" s="20" t="n">
        <v>0</v>
      </c>
      <c r="O17" s="18" t="n">
        <v>0</v>
      </c>
      <c r="P17" s="20" t="n">
        <v>0</v>
      </c>
      <c r="Q17" s="18" t="n">
        <v>5.60150635</v>
      </c>
      <c r="R17" s="20" t="n">
        <v>1.24952072</v>
      </c>
    </row>
    <row r="18" spans="1:18">
      <c r="A18" s="15" t="s">
        <v>360</v>
      </c>
      <c r="B18" s="17" t="n">
        <v>2826</v>
      </c>
      <c r="C18" s="18">
        <f>(2479.0/B18*100)</f>
        <v/>
      </c>
      <c r="D18" s="19" t="n">
        <v>347</v>
      </c>
      <c r="E18" s="18" t="n">
        <v>53.07748563</v>
      </c>
      <c r="F18" s="20" t="n">
        <v>2.92997504</v>
      </c>
      <c r="G18" s="18" t="n">
        <v>34.48301171</v>
      </c>
      <c r="H18" s="20" t="n">
        <v>3.25784107</v>
      </c>
      <c r="I18" s="18" t="s">
        <v>349</v>
      </c>
      <c r="J18" s="20" t="s">
        <v>349</v>
      </c>
      <c r="K18" s="18" t="n">
        <v>1.89438444</v>
      </c>
      <c r="L18" s="20" t="n">
        <v>0.88710837</v>
      </c>
      <c r="M18" s="18" t="n">
        <v>0</v>
      </c>
      <c r="N18" s="20" t="n">
        <v>0</v>
      </c>
      <c r="O18" s="18" t="n">
        <v>0</v>
      </c>
      <c r="P18" s="20" t="n">
        <v>0</v>
      </c>
      <c r="Q18" s="18" t="n">
        <v>10.54511823</v>
      </c>
      <c r="R18" s="20" t="n">
        <v>2.25758945</v>
      </c>
    </row>
    <row r="19" spans="1:18">
      <c r="A19" s="15" t="s">
        <v>361</v>
      </c>
      <c r="B19" s="17" t="n">
        <v>2808</v>
      </c>
      <c r="C19" s="18">
        <f>(2460.0/B19*100)</f>
        <v/>
      </c>
      <c r="D19" s="19" t="n">
        <v>348</v>
      </c>
      <c r="E19" s="18" t="n">
        <v>54.88325291</v>
      </c>
      <c r="F19" s="20" t="n">
        <v>2.95623604</v>
      </c>
      <c r="G19" s="18" t="n">
        <v>31.87006143</v>
      </c>
      <c r="H19" s="20" t="n">
        <v>2.70296733</v>
      </c>
      <c r="I19" s="18" t="s">
        <v>349</v>
      </c>
      <c r="J19" s="20" t="s">
        <v>349</v>
      </c>
      <c r="K19" s="18" t="n">
        <v>0.56703368</v>
      </c>
      <c r="L19" s="20" t="n">
        <v>0.28446822</v>
      </c>
      <c r="M19" s="18" t="n">
        <v>0</v>
      </c>
      <c r="N19" s="20" t="n">
        <v>0</v>
      </c>
      <c r="O19" s="18" t="n">
        <v>0</v>
      </c>
      <c r="P19" s="20" t="n">
        <v>0</v>
      </c>
      <c r="Q19" s="18" t="n">
        <v>12.67965197</v>
      </c>
      <c r="R19" s="20" t="n">
        <v>2.32366363</v>
      </c>
    </row>
    <row r="20" spans="1:18">
      <c r="A20" s="15" t="s">
        <v>362</v>
      </c>
      <c r="B20" s="17" t="n">
        <v>1630</v>
      </c>
      <c r="C20" s="18">
        <f>(1438.0/B20*100)</f>
        <v/>
      </c>
      <c r="D20" s="19" t="n">
        <v>192</v>
      </c>
      <c r="E20" s="18" t="n">
        <v>55.69718542</v>
      </c>
      <c r="F20" s="20" t="n">
        <v>3.70349914</v>
      </c>
      <c r="G20" s="18" t="n">
        <v>31.39166816</v>
      </c>
      <c r="H20" s="20" t="n">
        <v>3.60793491</v>
      </c>
      <c r="I20" s="18" t="s">
        <v>349</v>
      </c>
      <c r="J20" s="20" t="s">
        <v>349</v>
      </c>
      <c r="K20" s="18" t="n">
        <v>1.52323007</v>
      </c>
      <c r="L20" s="20" t="n">
        <v>0.8373187600000001</v>
      </c>
      <c r="M20" s="18" t="n">
        <v>0</v>
      </c>
      <c r="N20" s="20" t="n">
        <v>0</v>
      </c>
      <c r="O20" s="18" t="n">
        <v>0</v>
      </c>
      <c r="P20" s="20" t="n">
        <v>0</v>
      </c>
      <c r="Q20" s="18" t="n">
        <v>11.38791635</v>
      </c>
      <c r="R20" s="20" t="n">
        <v>2.33609538</v>
      </c>
    </row>
    <row r="21" spans="1:18">
      <c r="A21" s="15" t="s">
        <v>363</v>
      </c>
      <c r="B21" s="17" t="n">
        <v>2908</v>
      </c>
      <c r="C21" s="18">
        <f>(2401.0/B21*100)</f>
        <v/>
      </c>
      <c r="D21" s="19" t="n">
        <v>507</v>
      </c>
      <c r="E21" s="18" t="n">
        <v>62.54094149</v>
      </c>
      <c r="F21" s="20" t="n">
        <v>2.48108201</v>
      </c>
      <c r="G21" s="18" t="n">
        <v>34.91936391</v>
      </c>
      <c r="H21" s="20" t="n">
        <v>2.39525385</v>
      </c>
      <c r="I21" s="18" t="s">
        <v>349</v>
      </c>
      <c r="J21" s="20" t="s">
        <v>349</v>
      </c>
      <c r="K21" s="18" t="n">
        <v>0.63142157</v>
      </c>
      <c r="L21" s="20" t="n">
        <v>0.29017947</v>
      </c>
      <c r="M21" s="18" t="n">
        <v>0</v>
      </c>
      <c r="N21" s="20" t="n">
        <v>0</v>
      </c>
      <c r="O21" s="18" t="n">
        <v>0</v>
      </c>
      <c r="P21" s="20" t="n">
        <v>0</v>
      </c>
      <c r="Q21" s="18" t="n">
        <v>1.90827304</v>
      </c>
      <c r="R21" s="20" t="n">
        <v>0.6310884</v>
      </c>
    </row>
    <row r="22" spans="1:18">
      <c r="A22" s="15" t="s">
        <v>364</v>
      </c>
      <c r="B22" s="17" t="n">
        <v>2931</v>
      </c>
      <c r="C22" s="18">
        <f>(2567.0/B22*100)</f>
        <v/>
      </c>
      <c r="D22" s="19" t="n">
        <v>364</v>
      </c>
      <c r="E22" s="18" t="n">
        <v>47.81691521</v>
      </c>
      <c r="F22" s="20" t="n">
        <v>2.64004575</v>
      </c>
      <c r="G22" s="18" t="n">
        <v>33.0614903</v>
      </c>
      <c r="H22" s="20" t="n">
        <v>2.56996199</v>
      </c>
      <c r="I22" s="18" t="s">
        <v>349</v>
      </c>
      <c r="J22" s="20" t="s">
        <v>349</v>
      </c>
      <c r="K22" s="18" t="n">
        <v>1.83232662</v>
      </c>
      <c r="L22" s="20" t="n">
        <v>0.77659881</v>
      </c>
      <c r="M22" s="18" t="n">
        <v>0</v>
      </c>
      <c r="N22" s="20" t="n">
        <v>0</v>
      </c>
      <c r="O22" s="18" t="n">
        <v>0</v>
      </c>
      <c r="P22" s="20" t="n">
        <v>0</v>
      </c>
      <c r="Q22" s="18" t="n">
        <v>17.28926787</v>
      </c>
      <c r="R22" s="20" t="n">
        <v>2.8308467</v>
      </c>
    </row>
    <row r="23" spans="1:18">
      <c r="A23" s="15" t="s">
        <v>365</v>
      </c>
      <c r="B23" s="17" t="n">
        <v>5791</v>
      </c>
      <c r="C23" s="18">
        <f>(5097.0/B23*100)</f>
        <v/>
      </c>
      <c r="D23" s="19" t="n">
        <v>694</v>
      </c>
      <c r="E23" s="18" t="n">
        <v>44.87847949</v>
      </c>
      <c r="F23" s="20" t="n">
        <v>2.65349735</v>
      </c>
      <c r="G23" s="18" t="n">
        <v>43.45476159</v>
      </c>
      <c r="H23" s="20" t="n">
        <v>2.64262334</v>
      </c>
      <c r="I23" s="18" t="s">
        <v>349</v>
      </c>
      <c r="J23" s="20" t="s">
        <v>349</v>
      </c>
      <c r="K23" s="18" t="n">
        <v>1.85455994</v>
      </c>
      <c r="L23" s="20" t="n">
        <v>0.83262683</v>
      </c>
      <c r="M23" s="18" t="n">
        <v>0.50747588</v>
      </c>
      <c r="N23" s="20" t="n">
        <v>0.2014184</v>
      </c>
      <c r="O23" s="18" t="n">
        <v>0</v>
      </c>
      <c r="P23" s="20" t="n">
        <v>0</v>
      </c>
      <c r="Q23" s="18" t="n">
        <v>9.3047231</v>
      </c>
      <c r="R23" s="20" t="n">
        <v>1.94904801</v>
      </c>
    </row>
    <row r="24" spans="1:18">
      <c r="A24" s="15" t="s">
        <v>366</v>
      </c>
      <c r="B24" s="17" t="n">
        <v>3338</v>
      </c>
      <c r="C24" s="18">
        <f>(2942.0/B24*100)</f>
        <v/>
      </c>
      <c r="D24" s="19" t="n">
        <v>396</v>
      </c>
      <c r="E24" s="18" t="n">
        <v>55.73537862</v>
      </c>
      <c r="F24" s="20" t="n">
        <v>2.54841469</v>
      </c>
      <c r="G24" s="18" t="n">
        <v>38.42528188</v>
      </c>
      <c r="H24" s="20" t="n">
        <v>2.65447619</v>
      </c>
      <c r="I24" s="18" t="s">
        <v>349</v>
      </c>
      <c r="J24" s="20" t="s">
        <v>349</v>
      </c>
      <c r="K24" s="18" t="n">
        <v>0.17890349</v>
      </c>
      <c r="L24" s="20" t="n">
        <v>0.17925419</v>
      </c>
      <c r="M24" s="18" t="n">
        <v>0</v>
      </c>
      <c r="N24" s="20" t="n">
        <v>0</v>
      </c>
      <c r="O24" s="18" t="n">
        <v>0</v>
      </c>
      <c r="P24" s="20" t="n">
        <v>0</v>
      </c>
      <c r="Q24" s="18" t="n">
        <v>5.66043601</v>
      </c>
      <c r="R24" s="20" t="n">
        <v>1.27446079</v>
      </c>
    </row>
    <row r="25" spans="1:18">
      <c r="A25" s="15" t="s">
        <v>367</v>
      </c>
      <c r="B25" s="17" t="n">
        <v>2912</v>
      </c>
      <c r="C25" s="18">
        <f>(2539.0/B25*100)</f>
        <v/>
      </c>
      <c r="D25" s="19" t="n">
        <v>373</v>
      </c>
      <c r="E25" s="18" t="n">
        <v>42.4678965</v>
      </c>
      <c r="F25" s="20" t="n">
        <v>2.54027071</v>
      </c>
      <c r="G25" s="18" t="n">
        <v>45.38405183</v>
      </c>
      <c r="H25" s="20" t="n">
        <v>2.75831009</v>
      </c>
      <c r="I25" s="18" t="s">
        <v>349</v>
      </c>
      <c r="J25" s="20" t="s">
        <v>349</v>
      </c>
      <c r="K25" s="18" t="n">
        <v>1.91782774</v>
      </c>
      <c r="L25" s="20" t="n">
        <v>0.72002429</v>
      </c>
      <c r="M25" s="18" t="n">
        <v>0</v>
      </c>
      <c r="N25" s="20" t="n">
        <v>0</v>
      </c>
      <c r="O25" s="18" t="n">
        <v>0</v>
      </c>
      <c r="P25" s="20" t="n">
        <v>0</v>
      </c>
      <c r="Q25" s="18" t="n">
        <v>10.23022393</v>
      </c>
      <c r="R25" s="20" t="n">
        <v>1.37547956</v>
      </c>
    </row>
    <row r="26" spans="1:18">
      <c r="A26" s="15" t="s">
        <v>368</v>
      </c>
      <c r="B26" s="17" t="n">
        <v>2450</v>
      </c>
      <c r="C26" s="18">
        <f>(2138.0/B26*100)</f>
        <v/>
      </c>
      <c r="D26" s="19" t="n">
        <v>312</v>
      </c>
      <c r="E26" s="18" t="n">
        <v>64.72842866000001</v>
      </c>
      <c r="F26" s="20" t="n">
        <v>3.05156136</v>
      </c>
      <c r="G26" s="18" t="n">
        <v>27.14676609</v>
      </c>
      <c r="H26" s="20" t="n">
        <v>2.84748399</v>
      </c>
      <c r="I26" s="18" t="s">
        <v>349</v>
      </c>
      <c r="J26" s="20" t="s">
        <v>349</v>
      </c>
      <c r="K26" s="18" t="n">
        <v>0.77783004</v>
      </c>
      <c r="L26" s="20" t="n">
        <v>0.45399043</v>
      </c>
      <c r="M26" s="18" t="n">
        <v>0.24122465</v>
      </c>
      <c r="N26" s="20" t="n">
        <v>0.24155267</v>
      </c>
      <c r="O26" s="18" t="n">
        <v>0</v>
      </c>
      <c r="P26" s="20" t="n">
        <v>0</v>
      </c>
      <c r="Q26" s="18" t="n">
        <v>7.10575056</v>
      </c>
      <c r="R26" s="20" t="n">
        <v>1.50770818</v>
      </c>
    </row>
    <row r="27" spans="1:18">
      <c r="A27" s="15" t="s">
        <v>369</v>
      </c>
      <c r="B27" s="17" t="n">
        <v>2616</v>
      </c>
      <c r="C27" s="18">
        <f>(2308.0/B27*100)</f>
        <v/>
      </c>
      <c r="D27" s="19" t="n">
        <v>308</v>
      </c>
      <c r="E27" s="18" t="n">
        <v>54.27046437</v>
      </c>
      <c r="F27" s="20" t="n">
        <v>2.49302866</v>
      </c>
      <c r="G27" s="18" t="n">
        <v>34.14511091</v>
      </c>
      <c r="H27" s="20" t="n">
        <v>2.46209981</v>
      </c>
      <c r="I27" s="18" t="s">
        <v>349</v>
      </c>
      <c r="J27" s="20" t="s">
        <v>349</v>
      </c>
      <c r="K27" s="18" t="n">
        <v>1.64990299</v>
      </c>
      <c r="L27" s="20" t="n">
        <v>0.73379092</v>
      </c>
      <c r="M27" s="18" t="n">
        <v>0</v>
      </c>
      <c r="N27" s="20" t="n">
        <v>0</v>
      </c>
      <c r="O27" s="18" t="n">
        <v>0</v>
      </c>
      <c r="P27" s="20" t="n">
        <v>0</v>
      </c>
      <c r="Q27" s="18" t="n">
        <v>9.93452173</v>
      </c>
      <c r="R27" s="20" t="n">
        <v>1.62533857</v>
      </c>
    </row>
    <row r="28" spans="1:18">
      <c r="A28" s="15" t="s">
        <v>370</v>
      </c>
      <c r="B28" s="17" t="n">
        <v>3765</v>
      </c>
      <c r="C28" s="18">
        <f>(3311.0/B28*100)</f>
        <v/>
      </c>
      <c r="D28" s="19" t="n">
        <v>454</v>
      </c>
      <c r="E28" s="18" t="n">
        <v>86.89490995</v>
      </c>
      <c r="F28" s="20" t="n">
        <v>1.88339303</v>
      </c>
      <c r="G28" s="18" t="n">
        <v>5.72935934</v>
      </c>
      <c r="H28" s="20" t="n">
        <v>1.03755579</v>
      </c>
      <c r="I28" s="18" t="s">
        <v>349</v>
      </c>
      <c r="J28" s="20" t="s">
        <v>349</v>
      </c>
      <c r="K28" s="18" t="n">
        <v>1.69512164</v>
      </c>
      <c r="L28" s="20" t="n">
        <v>0.82579085</v>
      </c>
      <c r="M28" s="18" t="n">
        <v>0.35129885</v>
      </c>
      <c r="N28" s="20" t="n">
        <v>0.3529537</v>
      </c>
      <c r="O28" s="18" t="n">
        <v>0</v>
      </c>
      <c r="P28" s="20" t="n">
        <v>0</v>
      </c>
      <c r="Q28" s="18" t="n">
        <v>5.32931023</v>
      </c>
      <c r="R28" s="20" t="n">
        <v>1.20054815</v>
      </c>
    </row>
    <row r="29" spans="1:18">
      <c r="A29" s="15" t="s">
        <v>371</v>
      </c>
      <c r="B29" s="17" t="n">
        <v>2685</v>
      </c>
      <c r="C29" s="18">
        <f>(2352.0/B29*100)</f>
        <v/>
      </c>
      <c r="D29" s="19" t="n">
        <v>333</v>
      </c>
      <c r="E29" s="18" t="n">
        <v>57.59273521</v>
      </c>
      <c r="F29" s="20" t="n">
        <v>2.93910432</v>
      </c>
      <c r="G29" s="18" t="n">
        <v>38.90466972</v>
      </c>
      <c r="H29" s="20" t="n">
        <v>2.95996986</v>
      </c>
      <c r="I29" s="18" t="s">
        <v>349</v>
      </c>
      <c r="J29" s="20" t="s">
        <v>349</v>
      </c>
      <c r="K29" s="18" t="n">
        <v>0.70191518</v>
      </c>
      <c r="L29" s="20" t="n">
        <v>0.46673913</v>
      </c>
      <c r="M29" s="18" t="n">
        <v>0</v>
      </c>
      <c r="N29" s="20" t="n">
        <v>0</v>
      </c>
      <c r="O29" s="18" t="n">
        <v>0</v>
      </c>
      <c r="P29" s="20" t="n">
        <v>0</v>
      </c>
      <c r="Q29" s="18" t="n">
        <v>2.80067989</v>
      </c>
      <c r="R29" s="20" t="n">
        <v>0.91842184</v>
      </c>
    </row>
    <row r="30" spans="1:18">
      <c r="A30" s="15" t="s">
        <v>372</v>
      </c>
      <c r="B30" s="17" t="n">
        <v>2263</v>
      </c>
      <c r="C30" s="18">
        <f>(2003.0/B30*100)</f>
        <v/>
      </c>
      <c r="D30" s="19" t="n">
        <v>260</v>
      </c>
      <c r="E30" s="18" t="n">
        <v>61.36634754</v>
      </c>
      <c r="F30" s="20" t="n">
        <v>2.63254719</v>
      </c>
      <c r="G30" s="18" t="n">
        <v>32.96495204</v>
      </c>
      <c r="H30" s="20" t="n">
        <v>2.4878935</v>
      </c>
      <c r="I30" s="18" t="s">
        <v>349</v>
      </c>
      <c r="J30" s="20" t="s">
        <v>349</v>
      </c>
      <c r="K30" s="18" t="n">
        <v>0.85063721</v>
      </c>
      <c r="L30" s="20" t="n">
        <v>0.56983333</v>
      </c>
      <c r="M30" s="18" t="n">
        <v>0.34413469</v>
      </c>
      <c r="N30" s="20" t="n">
        <v>0.34931104</v>
      </c>
      <c r="O30" s="18" t="n">
        <v>0</v>
      </c>
      <c r="P30" s="20" t="n">
        <v>0</v>
      </c>
      <c r="Q30" s="18" t="n">
        <v>4.47392852</v>
      </c>
      <c r="R30" s="20" t="n">
        <v>1.09546725</v>
      </c>
    </row>
    <row r="31" spans="1:18">
      <c r="A31" s="15" t="s">
        <v>373</v>
      </c>
      <c r="B31" s="17" t="n">
        <v>2750</v>
      </c>
      <c r="C31" s="18">
        <f>(2422.0/B31*100)</f>
        <v/>
      </c>
      <c r="D31" s="19" t="n">
        <v>328</v>
      </c>
      <c r="E31" s="18" t="n">
        <v>47.65515936</v>
      </c>
      <c r="F31" s="20" t="n">
        <v>2.77473453</v>
      </c>
      <c r="G31" s="18" t="n">
        <v>42.50316079</v>
      </c>
      <c r="H31" s="20" t="n">
        <v>2.75599602</v>
      </c>
      <c r="I31" s="18" t="s">
        <v>349</v>
      </c>
      <c r="J31" s="20" t="s">
        <v>349</v>
      </c>
      <c r="K31" s="18" t="n">
        <v>1.44192877</v>
      </c>
      <c r="L31" s="20" t="n">
        <v>0.63779566</v>
      </c>
      <c r="M31" s="18" t="n">
        <v>0</v>
      </c>
      <c r="N31" s="20" t="n">
        <v>0</v>
      </c>
      <c r="O31" s="18" t="n">
        <v>0</v>
      </c>
      <c r="P31" s="20" t="n">
        <v>0</v>
      </c>
      <c r="Q31" s="18" t="n">
        <v>8.39975108</v>
      </c>
      <c r="R31" s="20" t="n">
        <v>1.33320896</v>
      </c>
    </row>
    <row r="32" spans="1:18">
      <c r="A32" s="15" t="s">
        <v>374</v>
      </c>
      <c r="B32" s="17" t="n">
        <v>2269</v>
      </c>
      <c r="C32" s="18">
        <f>(1894.0/B32*100)</f>
        <v/>
      </c>
      <c r="D32" s="19" t="n">
        <v>375</v>
      </c>
      <c r="E32" s="18" t="n">
        <v>51.8527208</v>
      </c>
      <c r="F32" s="20" t="n">
        <v>2.68680863</v>
      </c>
      <c r="G32" s="18" t="n">
        <v>41.82545314</v>
      </c>
      <c r="H32" s="20" t="n">
        <v>2.70035857</v>
      </c>
      <c r="I32" s="18" t="s">
        <v>349</v>
      </c>
      <c r="J32" s="20" t="s">
        <v>349</v>
      </c>
      <c r="K32" s="18" t="n">
        <v>0.47075236</v>
      </c>
      <c r="L32" s="20" t="n">
        <v>0.33563922</v>
      </c>
      <c r="M32" s="18" t="n">
        <v>0</v>
      </c>
      <c r="N32" s="20" t="n">
        <v>0</v>
      </c>
      <c r="O32" s="18" t="n">
        <v>0</v>
      </c>
      <c r="P32" s="20" t="n">
        <v>0</v>
      </c>
      <c r="Q32" s="18" t="n">
        <v>5.8510737</v>
      </c>
      <c r="R32" s="20" t="n">
        <v>1.32636388</v>
      </c>
    </row>
    <row r="33" spans="1:18">
      <c r="A33" s="15" t="s">
        <v>375</v>
      </c>
      <c r="B33" s="17" t="n">
        <v>3674</v>
      </c>
      <c r="C33" s="18">
        <f>(3232.0/B33*100)</f>
        <v/>
      </c>
      <c r="D33" s="19" t="n">
        <v>442</v>
      </c>
      <c r="E33" s="18" t="n">
        <v>53.79244323</v>
      </c>
      <c r="F33" s="20" t="n">
        <v>2.38021602</v>
      </c>
      <c r="G33" s="18" t="n">
        <v>35.6788219</v>
      </c>
      <c r="H33" s="20" t="n">
        <v>2.64491597</v>
      </c>
      <c r="I33" s="18" t="s">
        <v>349</v>
      </c>
      <c r="J33" s="20" t="s">
        <v>349</v>
      </c>
      <c r="K33" s="18" t="n">
        <v>0.32856311</v>
      </c>
      <c r="L33" s="20" t="n">
        <v>0.28768663</v>
      </c>
      <c r="M33" s="18" t="n">
        <v>0</v>
      </c>
      <c r="N33" s="20" t="n">
        <v>0</v>
      </c>
      <c r="O33" s="18" t="n">
        <v>0</v>
      </c>
      <c r="P33" s="20" t="n">
        <v>0</v>
      </c>
      <c r="Q33" s="18" t="n">
        <v>10.20017176</v>
      </c>
      <c r="R33" s="20" t="n">
        <v>1.67301734</v>
      </c>
    </row>
    <row r="34" spans="1:18">
      <c r="A34" s="15" t="s">
        <v>376</v>
      </c>
      <c r="B34" s="17" t="n">
        <v>3315</v>
      </c>
      <c r="C34" s="18">
        <f>(2932.0/B34*100)</f>
        <v/>
      </c>
      <c r="D34" s="19" t="n">
        <v>383</v>
      </c>
      <c r="E34" s="18" t="n">
        <v>68.53758516000001</v>
      </c>
      <c r="F34" s="20" t="n">
        <v>2.71116858</v>
      </c>
      <c r="G34" s="18" t="n">
        <v>23.71355264</v>
      </c>
      <c r="H34" s="20" t="n">
        <v>2.43372121</v>
      </c>
      <c r="I34" s="18" t="s">
        <v>349</v>
      </c>
      <c r="J34" s="20" t="s">
        <v>349</v>
      </c>
      <c r="K34" s="18" t="n">
        <v>0.39092381</v>
      </c>
      <c r="L34" s="20" t="n">
        <v>0.38972514</v>
      </c>
      <c r="M34" s="18" t="n">
        <v>0.17048794</v>
      </c>
      <c r="N34" s="20" t="n">
        <v>0.17154482</v>
      </c>
      <c r="O34" s="18" t="n">
        <v>0</v>
      </c>
      <c r="P34" s="20" t="n">
        <v>0</v>
      </c>
      <c r="Q34" s="18" t="n">
        <v>7.18745045</v>
      </c>
      <c r="R34" s="20" t="n">
        <v>1.48864565</v>
      </c>
    </row>
    <row r="35" spans="1:18">
      <c r="A35" s="15" t="s">
        <v>377</v>
      </c>
      <c r="B35" s="17" t="n">
        <v>3505</v>
      </c>
      <c r="C35" s="18">
        <f>(3100.0/B35*100)</f>
        <v/>
      </c>
      <c r="D35" s="19" t="n">
        <v>405</v>
      </c>
      <c r="E35" s="18" t="n">
        <v>56.26315575</v>
      </c>
      <c r="F35" s="20" t="n">
        <v>3.44521238</v>
      </c>
      <c r="G35" s="18" t="n">
        <v>39.03785238</v>
      </c>
      <c r="H35" s="20" t="n">
        <v>3.29891604</v>
      </c>
      <c r="I35" s="18" t="s">
        <v>349</v>
      </c>
      <c r="J35" s="20" t="s">
        <v>349</v>
      </c>
      <c r="K35" s="18" t="n">
        <v>0.51457604</v>
      </c>
      <c r="L35" s="20" t="n">
        <v>0.31450916</v>
      </c>
      <c r="M35" s="18" t="n">
        <v>0.44067876</v>
      </c>
      <c r="N35" s="20" t="n">
        <v>0.43853923</v>
      </c>
      <c r="O35" s="18" t="n">
        <v>0</v>
      </c>
      <c r="P35" s="20" t="n">
        <v>0</v>
      </c>
      <c r="Q35" s="18" t="n">
        <v>3.74373707</v>
      </c>
      <c r="R35" s="20" t="n">
        <v>0.89792823</v>
      </c>
    </row>
    <row r="36" spans="1:18">
      <c r="A36" s="15" t="s">
        <v>378</v>
      </c>
      <c r="B36" s="17" t="n">
        <v>3332</v>
      </c>
      <c r="C36" s="18">
        <f>(2943.0/B36*100)</f>
        <v/>
      </c>
      <c r="D36" s="19" t="n">
        <v>389</v>
      </c>
      <c r="E36" s="18" t="n">
        <v>54.7121687</v>
      </c>
      <c r="F36" s="20" t="n">
        <v>2.67209335</v>
      </c>
      <c r="G36" s="18" t="n">
        <v>36.53628276</v>
      </c>
      <c r="H36" s="20" t="n">
        <v>2.38434703</v>
      </c>
      <c r="I36" s="18" t="s">
        <v>349</v>
      </c>
      <c r="J36" s="20" t="s">
        <v>349</v>
      </c>
      <c r="K36" s="18" t="n">
        <v>0.89607755</v>
      </c>
      <c r="L36" s="20" t="n">
        <v>0.46344826</v>
      </c>
      <c r="M36" s="18" t="n">
        <v>0</v>
      </c>
      <c r="N36" s="20" t="n">
        <v>0</v>
      </c>
      <c r="O36" s="18" t="n">
        <v>0</v>
      </c>
      <c r="P36" s="20" t="n">
        <v>0</v>
      </c>
      <c r="Q36" s="18" t="n">
        <v>7.85547099</v>
      </c>
      <c r="R36" s="20" t="n">
        <v>1.28677034</v>
      </c>
    </row>
    <row r="37" spans="1:18">
      <c r="A37" s="15" t="s">
        <v>379</v>
      </c>
      <c r="B37" s="17" t="n">
        <v>2727</v>
      </c>
      <c r="C37" s="18">
        <f>(2402.0/B37*100)</f>
        <v/>
      </c>
      <c r="D37" s="19" t="n">
        <v>325</v>
      </c>
      <c r="E37" s="18" t="n">
        <v>48.59304206</v>
      </c>
      <c r="F37" s="20" t="n">
        <v>2.5356323</v>
      </c>
      <c r="G37" s="18" t="n">
        <v>41.43345211</v>
      </c>
      <c r="H37" s="20" t="n">
        <v>2.58866371</v>
      </c>
      <c r="I37" s="18" t="s">
        <v>349</v>
      </c>
      <c r="J37" s="20" t="s">
        <v>349</v>
      </c>
      <c r="K37" s="18" t="n">
        <v>2.69645874</v>
      </c>
      <c r="L37" s="20" t="n">
        <v>1.10095439</v>
      </c>
      <c r="M37" s="18" t="n">
        <v>0</v>
      </c>
      <c r="N37" s="20" t="n">
        <v>0</v>
      </c>
      <c r="O37" s="18" t="n">
        <v>0</v>
      </c>
      <c r="P37" s="20" t="n">
        <v>0</v>
      </c>
      <c r="Q37" s="18" t="n">
        <v>7.27704709</v>
      </c>
      <c r="R37" s="20" t="n">
        <v>1.50226577</v>
      </c>
    </row>
    <row r="38" spans="1:18">
      <c r="A38" s="15" t="s">
        <v>380</v>
      </c>
      <c r="B38" s="17" t="n">
        <v>3053</v>
      </c>
      <c r="C38" s="18">
        <f>(2526.0/B38*100)</f>
        <v/>
      </c>
      <c r="D38" s="19" t="n">
        <v>527</v>
      </c>
      <c r="E38" s="18" t="n">
        <v>48.84584404</v>
      </c>
      <c r="F38" s="20" t="n">
        <v>2.38269286</v>
      </c>
      <c r="G38" s="18" t="n">
        <v>45.9745569</v>
      </c>
      <c r="H38" s="20" t="n">
        <v>2.37156728</v>
      </c>
      <c r="I38" s="18" t="s">
        <v>349</v>
      </c>
      <c r="J38" s="20" t="s">
        <v>349</v>
      </c>
      <c r="K38" s="18" t="n">
        <v>0.7371463700000001</v>
      </c>
      <c r="L38" s="20" t="n">
        <v>0.36235024</v>
      </c>
      <c r="M38" s="18" t="n">
        <v>0</v>
      </c>
      <c r="N38" s="20" t="n">
        <v>0</v>
      </c>
      <c r="O38" s="18" t="n">
        <v>0</v>
      </c>
      <c r="P38" s="20" t="n">
        <v>0</v>
      </c>
      <c r="Q38" s="18" t="n">
        <v>4.4424527</v>
      </c>
      <c r="R38" s="20" t="n">
        <v>0.84898403</v>
      </c>
    </row>
    <row r="39" spans="1:18">
      <c r="A39" s="15" t="s">
        <v>381</v>
      </c>
      <c r="B39" s="17" t="n">
        <v>2957</v>
      </c>
      <c r="C39" s="18">
        <f>(2588.0/B39*100)</f>
        <v/>
      </c>
      <c r="D39" s="19" t="n">
        <v>369</v>
      </c>
      <c r="E39" s="18" t="n">
        <v>49.96576831</v>
      </c>
      <c r="F39" s="20" t="n">
        <v>3.23166062</v>
      </c>
      <c r="G39" s="18" t="n">
        <v>40.96070448</v>
      </c>
      <c r="H39" s="20" t="n">
        <v>3.25618414</v>
      </c>
      <c r="I39" s="18" t="s">
        <v>349</v>
      </c>
      <c r="J39" s="20" t="s">
        <v>349</v>
      </c>
      <c r="K39" s="18" t="n">
        <v>0.59913145</v>
      </c>
      <c r="L39" s="20" t="n">
        <v>0.35435413</v>
      </c>
      <c r="M39" s="18" t="n">
        <v>0</v>
      </c>
      <c r="N39" s="20" t="n">
        <v>0</v>
      </c>
      <c r="O39" s="18" t="n">
        <v>0</v>
      </c>
      <c r="P39" s="20" t="n">
        <v>0</v>
      </c>
      <c r="Q39" s="18" t="n">
        <v>8.474395769999999</v>
      </c>
      <c r="R39" s="20" t="n">
        <v>1.82837993</v>
      </c>
    </row>
    <row r="40" spans="1:18">
      <c r="A40" s="15" t="s">
        <v>382</v>
      </c>
      <c r="B40" s="17" t="n">
        <v>7235</v>
      </c>
      <c r="C40" s="18">
        <f>(6358.0/B40*100)</f>
        <v/>
      </c>
      <c r="D40" s="19" t="n">
        <v>877</v>
      </c>
      <c r="E40" s="18" t="n">
        <v>54.32623578</v>
      </c>
      <c r="F40" s="20" t="n">
        <v>2.67095012</v>
      </c>
      <c r="G40" s="18" t="n">
        <v>37.57204608</v>
      </c>
      <c r="H40" s="20" t="n">
        <v>2.58485516</v>
      </c>
      <c r="I40" s="18" t="s">
        <v>349</v>
      </c>
      <c r="J40" s="20" t="s">
        <v>349</v>
      </c>
      <c r="K40" s="18" t="n">
        <v>1.34874313</v>
      </c>
      <c r="L40" s="20" t="n">
        <v>0.6499501</v>
      </c>
      <c r="M40" s="18" t="n">
        <v>0.1899032</v>
      </c>
      <c r="N40" s="20" t="n">
        <v>0.18160334</v>
      </c>
      <c r="O40" s="18" t="n">
        <v>0</v>
      </c>
      <c r="P40" s="20" t="n">
        <v>0</v>
      </c>
      <c r="Q40" s="18" t="n">
        <v>6.56307182</v>
      </c>
      <c r="R40" s="20" t="n">
        <v>1.44934288</v>
      </c>
    </row>
    <row r="41" spans="1:18">
      <c r="A41" s="15" t="s">
        <v>383</v>
      </c>
      <c r="B41" s="17" t="n">
        <v>2858</v>
      </c>
      <c r="C41" s="18">
        <f>(2523.0/B41*100)</f>
        <v/>
      </c>
      <c r="D41" s="19" t="n">
        <v>335</v>
      </c>
      <c r="E41" s="18" t="n">
        <v>74.41378684</v>
      </c>
      <c r="F41" s="20" t="n">
        <v>2.70175673</v>
      </c>
      <c r="G41" s="18" t="n">
        <v>22.62303553</v>
      </c>
      <c r="H41" s="20" t="n">
        <v>2.54605878</v>
      </c>
      <c r="I41" s="18" t="s">
        <v>349</v>
      </c>
      <c r="J41" s="20" t="s">
        <v>349</v>
      </c>
      <c r="K41" s="18" t="n">
        <v>0.28586772</v>
      </c>
      <c r="L41" s="20" t="n">
        <v>0.2765373</v>
      </c>
      <c r="M41" s="18" t="n">
        <v>0</v>
      </c>
      <c r="N41" s="20" t="n">
        <v>0</v>
      </c>
      <c r="O41" s="18" t="n">
        <v>0</v>
      </c>
      <c r="P41" s="20" t="n">
        <v>0</v>
      </c>
      <c r="Q41" s="18" t="n">
        <v>2.67730991</v>
      </c>
      <c r="R41" s="20" t="n">
        <v>0.89526792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(9935.0/B46*100)</f>
        <v/>
      </c>
      <c r="D46" s="19" t="n">
        <v>1133</v>
      </c>
      <c r="E46" s="18" t="n">
        <v>70.83797743</v>
      </c>
      <c r="F46" s="20" t="n">
        <v>1.74937548</v>
      </c>
      <c r="G46" s="18" t="n">
        <v>9.51759363</v>
      </c>
      <c r="H46" s="20" t="n">
        <v>1.27636014</v>
      </c>
      <c r="I46" s="18" t="s">
        <v>349</v>
      </c>
      <c r="J46" s="20" t="s">
        <v>349</v>
      </c>
      <c r="K46" s="18" t="n">
        <v>1.50404852</v>
      </c>
      <c r="L46" s="20" t="n">
        <v>0.41413056</v>
      </c>
      <c r="M46" s="18" t="n">
        <v>0.0917409</v>
      </c>
      <c r="N46" s="20" t="n">
        <v>0.0675268</v>
      </c>
      <c r="O46" s="18" t="n">
        <v>0</v>
      </c>
      <c r="P46" s="20" t="n">
        <v>0</v>
      </c>
      <c r="Q46" s="18" t="n">
        <v>18.04863952</v>
      </c>
      <c r="R46" s="20" t="n">
        <v>1.6821</v>
      </c>
    </row>
    <row r="47" spans="1:18">
      <c r="A47" s="15" t="s">
        <v>389</v>
      </c>
      <c r="B47" s="17" t="n">
        <v>3105</v>
      </c>
      <c r="C47" s="18">
        <f>(2749.0/B47*100)</f>
        <v/>
      </c>
      <c r="D47" s="19" t="n">
        <v>356</v>
      </c>
      <c r="E47" s="18" t="n">
        <v>49.03528395</v>
      </c>
      <c r="F47" s="20" t="n">
        <v>2.82377197</v>
      </c>
      <c r="G47" s="18" t="n">
        <v>29.7908486</v>
      </c>
      <c r="H47" s="20" t="n">
        <v>2.6638494</v>
      </c>
      <c r="I47" s="18" t="s">
        <v>349</v>
      </c>
      <c r="J47" s="20" t="s">
        <v>349</v>
      </c>
      <c r="K47" s="18" t="n">
        <v>1.90384511</v>
      </c>
      <c r="L47" s="20" t="n">
        <v>0.73849295</v>
      </c>
      <c r="M47" s="18" t="n">
        <v>0</v>
      </c>
      <c r="N47" s="20" t="n">
        <v>0</v>
      </c>
      <c r="O47" s="18" t="n">
        <v>0</v>
      </c>
      <c r="P47" s="20" t="n">
        <v>0</v>
      </c>
      <c r="Q47" s="18" t="n">
        <v>19.27002233</v>
      </c>
      <c r="R47" s="20" t="n">
        <v>2.26521702</v>
      </c>
    </row>
    <row r="48" spans="1:18">
      <c r="A48" s="15" t="s">
        <v>390</v>
      </c>
      <c r="B48" s="17" t="n">
        <v>5159</v>
      </c>
      <c r="C48" s="18">
        <f>(4520.0/B48*100)</f>
        <v/>
      </c>
      <c r="D48" s="19" t="n">
        <v>639</v>
      </c>
      <c r="E48" s="18" t="n">
        <v>50.0215845</v>
      </c>
      <c r="F48" s="20" t="n">
        <v>2.49705932</v>
      </c>
      <c r="G48" s="18" t="n">
        <v>41.25902854</v>
      </c>
      <c r="H48" s="20" t="n">
        <v>2.61381672</v>
      </c>
      <c r="I48" s="18" t="s">
        <v>349</v>
      </c>
      <c r="J48" s="20" t="s">
        <v>349</v>
      </c>
      <c r="K48" s="18" t="n">
        <v>1.25348019</v>
      </c>
      <c r="L48" s="20" t="n">
        <v>0.5281358900000001</v>
      </c>
      <c r="M48" s="18" t="n">
        <v>0.117234</v>
      </c>
      <c r="N48" s="20" t="n">
        <v>0.11707859</v>
      </c>
      <c r="O48" s="18" t="n">
        <v>0</v>
      </c>
      <c r="P48" s="20" t="n">
        <v>0</v>
      </c>
      <c r="Q48" s="18" t="n">
        <v>7.34867277</v>
      </c>
      <c r="R48" s="20" t="n">
        <v>1.33089732</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(4957.0/B50*100)</f>
        <v/>
      </c>
      <c r="D50" s="19" t="n">
        <v>680</v>
      </c>
      <c r="E50" s="18" t="n">
        <v>80.05607084</v>
      </c>
      <c r="F50" s="20" t="n">
        <v>2.12428966</v>
      </c>
      <c r="G50" s="18" t="n">
        <v>8.09857594</v>
      </c>
      <c r="H50" s="20" t="n">
        <v>1.57775687</v>
      </c>
      <c r="I50" s="18" t="s">
        <v>349</v>
      </c>
      <c r="J50" s="20" t="s">
        <v>349</v>
      </c>
      <c r="K50" s="18" t="n">
        <v>3.33694993</v>
      </c>
      <c r="L50" s="20" t="n">
        <v>1.01934485</v>
      </c>
      <c r="M50" s="18" t="n">
        <v>0.57951706</v>
      </c>
      <c r="N50" s="20" t="n">
        <v>0.36941162</v>
      </c>
      <c r="O50" s="18" t="n">
        <v>0</v>
      </c>
      <c r="P50" s="20" t="n">
        <v>0</v>
      </c>
      <c r="Q50" s="18" t="n">
        <v>7.92888624</v>
      </c>
      <c r="R50" s="20" t="n">
        <v>1.43560994</v>
      </c>
    </row>
    <row r="51" spans="1:18">
      <c r="A51" s="15" t="s">
        <v>393</v>
      </c>
      <c r="B51" s="17" t="n">
        <v>3372</v>
      </c>
      <c r="C51" s="18">
        <f>(3017.0/B51*100)</f>
        <v/>
      </c>
      <c r="D51" s="19" t="n">
        <v>355</v>
      </c>
      <c r="E51" s="18" t="n">
        <v>78.07137718</v>
      </c>
      <c r="F51" s="20" t="n">
        <v>2.69702161</v>
      </c>
      <c r="G51" s="18" t="n">
        <v>14.08551442</v>
      </c>
      <c r="H51" s="20" t="n">
        <v>2.15587239</v>
      </c>
      <c r="I51" s="18" t="s">
        <v>349</v>
      </c>
      <c r="J51" s="20" t="s">
        <v>349</v>
      </c>
      <c r="K51" s="18" t="n">
        <v>0.7494575</v>
      </c>
      <c r="L51" s="20" t="n">
        <v>0.46554068</v>
      </c>
      <c r="M51" s="18" t="n">
        <v>0</v>
      </c>
      <c r="N51" s="20" t="n">
        <v>0</v>
      </c>
      <c r="O51" s="18" t="n">
        <v>0</v>
      </c>
      <c r="P51" s="20" t="n">
        <v>0</v>
      </c>
      <c r="Q51" s="18" t="n">
        <v>7.0936509</v>
      </c>
      <c r="R51" s="20" t="n">
        <v>1.59187542</v>
      </c>
    </row>
    <row r="52" spans="1:18">
      <c r="A52" s="15" t="s">
        <v>394</v>
      </c>
      <c r="B52" s="17" t="n">
        <v>2796</v>
      </c>
      <c r="C52" s="18">
        <f>(2456.0/B52*100)</f>
        <v/>
      </c>
      <c r="D52" s="19" t="n">
        <v>340</v>
      </c>
      <c r="E52" s="18" t="n">
        <v>55.66704544</v>
      </c>
      <c r="F52" s="20" t="n">
        <v>2.73678648</v>
      </c>
      <c r="G52" s="18" t="n">
        <v>33.31377811</v>
      </c>
      <c r="H52" s="20" t="n">
        <v>2.99073164</v>
      </c>
      <c r="I52" s="18" t="s">
        <v>349</v>
      </c>
      <c r="J52" s="20" t="s">
        <v>349</v>
      </c>
      <c r="K52" s="18" t="n">
        <v>1.70252505</v>
      </c>
      <c r="L52" s="20" t="n">
        <v>0.70995755</v>
      </c>
      <c r="M52" s="18" t="n">
        <v>0</v>
      </c>
      <c r="N52" s="20" t="n">
        <v>0</v>
      </c>
      <c r="O52" s="18" t="n">
        <v>0</v>
      </c>
      <c r="P52" s="20" t="n">
        <v>0</v>
      </c>
      <c r="Q52" s="18" t="n">
        <v>9.31665141</v>
      </c>
      <c r="R52" s="20" t="n">
        <v>1.68355353</v>
      </c>
    </row>
    <row r="53" spans="1:18">
      <c r="A53" s="15" t="s">
        <v>395</v>
      </c>
      <c r="B53" s="17" t="n">
        <v>2811</v>
      </c>
      <c r="C53" s="18">
        <f>(2470.0/B53*100)</f>
        <v/>
      </c>
      <c r="D53" s="19" t="n">
        <v>341</v>
      </c>
      <c r="E53" s="18" t="n">
        <v>62.96861673</v>
      </c>
      <c r="F53" s="20" t="n">
        <v>2.69353631</v>
      </c>
      <c r="G53" s="18" t="n">
        <v>17.92245519</v>
      </c>
      <c r="H53" s="20" t="n">
        <v>2.36669759</v>
      </c>
      <c r="I53" s="18" t="s">
        <v>349</v>
      </c>
      <c r="J53" s="20" t="s">
        <v>349</v>
      </c>
      <c r="K53" s="18" t="n">
        <v>1.98360905</v>
      </c>
      <c r="L53" s="20" t="n">
        <v>0.78939475</v>
      </c>
      <c r="M53" s="18" t="n">
        <v>0</v>
      </c>
      <c r="N53" s="20" t="n">
        <v>0</v>
      </c>
      <c r="O53" s="18" t="n">
        <v>0</v>
      </c>
      <c r="P53" s="20" t="n">
        <v>0</v>
      </c>
      <c r="Q53" s="18" t="n">
        <v>17.12531903</v>
      </c>
      <c r="R53" s="20" t="n">
        <v>1.79505937</v>
      </c>
    </row>
    <row r="54" spans="1:18">
      <c r="A54" s="15" t="s">
        <v>396</v>
      </c>
      <c r="B54" s="17" t="n">
        <v>2266</v>
      </c>
      <c r="C54" s="18">
        <f>(1929.0/B54*100)</f>
        <v/>
      </c>
      <c r="D54" s="19" t="n">
        <v>337</v>
      </c>
      <c r="E54" s="18" t="n">
        <v>63.31022283</v>
      </c>
      <c r="F54" s="20" t="n">
        <v>3.24733222</v>
      </c>
      <c r="G54" s="18" t="n">
        <v>2.25902231</v>
      </c>
      <c r="H54" s="20" t="n">
        <v>1.04675568</v>
      </c>
      <c r="I54" s="18" t="s">
        <v>349</v>
      </c>
      <c r="J54" s="20" t="s">
        <v>349</v>
      </c>
      <c r="K54" s="18" t="n">
        <v>10.43746578</v>
      </c>
      <c r="L54" s="20" t="n">
        <v>1.98853024</v>
      </c>
      <c r="M54" s="18" t="n">
        <v>0.59815817</v>
      </c>
      <c r="N54" s="20" t="n">
        <v>0.46561503</v>
      </c>
      <c r="O54" s="18" t="n">
        <v>0</v>
      </c>
      <c r="P54" s="20" t="n">
        <v>0</v>
      </c>
      <c r="Q54" s="18" t="n">
        <v>23.3951309</v>
      </c>
      <c r="R54" s="20" t="n">
        <v>2.46057496</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60.57227871</v>
      </c>
      <c r="F56" s="20" t="n">
        <v>2.33554152</v>
      </c>
      <c r="G56" s="18" t="n">
        <v>33.78029849</v>
      </c>
      <c r="H56" s="20" t="n">
        <v>2.39037074</v>
      </c>
      <c r="I56" s="18" t="s">
        <v>349</v>
      </c>
      <c r="J56" s="20" t="s">
        <v>349</v>
      </c>
      <c r="K56" s="18" t="n">
        <v>0.37699708</v>
      </c>
      <c r="L56" s="20" t="n">
        <v>0.26679991</v>
      </c>
      <c r="M56" s="18" t="n">
        <v>0</v>
      </c>
      <c r="N56" s="20" t="n">
        <v>0</v>
      </c>
      <c r="O56" s="18" t="n">
        <v>0</v>
      </c>
      <c r="P56" s="20" t="n">
        <v>0</v>
      </c>
      <c r="Q56" s="18" t="n">
        <v>5.27042573</v>
      </c>
      <c r="R56" s="20" t="n">
        <v>1.23627679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(2907.0/B61*100)</f>
        <v/>
      </c>
      <c r="D61" s="19" t="n">
        <v>417</v>
      </c>
      <c r="E61" s="18" t="n">
        <v>55.78588585</v>
      </c>
      <c r="F61" s="20" t="n">
        <v>2.54339102</v>
      </c>
      <c r="G61" s="18" t="n">
        <v>35.60134076</v>
      </c>
      <c r="H61" s="20" t="n">
        <v>2.65664124</v>
      </c>
      <c r="I61" s="18" t="s">
        <v>349</v>
      </c>
      <c r="J61" s="20" t="s">
        <v>349</v>
      </c>
      <c r="K61" s="18" t="n">
        <v>0.24042992</v>
      </c>
      <c r="L61" s="20" t="n">
        <v>0.24160073</v>
      </c>
      <c r="M61" s="18" t="n">
        <v>0</v>
      </c>
      <c r="N61" s="20" t="n">
        <v>0</v>
      </c>
      <c r="O61" s="18" t="n">
        <v>0</v>
      </c>
      <c r="P61" s="20" t="n">
        <v>0</v>
      </c>
      <c r="Q61" s="18" t="n">
        <v>8.372343470000001</v>
      </c>
      <c r="R61" s="20" t="n">
        <v>1.43945701</v>
      </c>
    </row>
    <row r="62" spans="1:18">
      <c r="A62" s="15" t="s">
        <v>404</v>
      </c>
      <c r="B62" s="17" t="n">
        <v>2246</v>
      </c>
      <c r="C62" s="18">
        <f>(1952.0/B62*100)</f>
        <v/>
      </c>
      <c r="D62" s="19" t="n">
        <v>294</v>
      </c>
      <c r="E62" s="18" t="n">
        <v>63.90854795</v>
      </c>
      <c r="F62" s="20" t="n">
        <v>2.98158431</v>
      </c>
      <c r="G62" s="18" t="n">
        <v>30.95361017</v>
      </c>
      <c r="H62" s="20" t="n">
        <v>2.89809306</v>
      </c>
      <c r="I62" s="18" t="s">
        <v>349</v>
      </c>
      <c r="J62" s="20" t="s">
        <v>349</v>
      </c>
      <c r="K62" s="18" t="n">
        <v>0</v>
      </c>
      <c r="L62" s="20" t="n">
        <v>0</v>
      </c>
      <c r="M62" s="18" t="n">
        <v>0.34133619</v>
      </c>
      <c r="N62" s="20" t="n">
        <v>0.3416333</v>
      </c>
      <c r="O62" s="18" t="n">
        <v>0</v>
      </c>
      <c r="P62" s="20" t="n">
        <v>0</v>
      </c>
      <c r="Q62" s="18" t="n">
        <v>4.79650569</v>
      </c>
      <c r="R62" s="20" t="n">
        <v>1.34766702</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(2544.0/B66*100)</f>
        <v/>
      </c>
      <c r="D66" s="19" t="n">
        <v>350</v>
      </c>
      <c r="E66" s="18" t="n">
        <v>48.15084295</v>
      </c>
      <c r="F66" s="20" t="n">
        <v>2.88314248</v>
      </c>
      <c r="G66" s="18" t="n">
        <v>26.91476137</v>
      </c>
      <c r="H66" s="20" t="n">
        <v>2.41892063</v>
      </c>
      <c r="I66" s="18" t="s">
        <v>349</v>
      </c>
      <c r="J66" s="20" t="s">
        <v>349</v>
      </c>
      <c r="K66" s="18" t="n">
        <v>2.15335757</v>
      </c>
      <c r="L66" s="20" t="n">
        <v>0.66431901</v>
      </c>
      <c r="M66" s="18" t="n">
        <v>0</v>
      </c>
      <c r="N66" s="20" t="n">
        <v>0</v>
      </c>
      <c r="O66" s="18" t="n">
        <v>0</v>
      </c>
      <c r="P66" s="20" t="n">
        <v>0</v>
      </c>
      <c r="Q66" s="18" t="n">
        <v>22.78103811</v>
      </c>
      <c r="R66" s="20" t="n">
        <v>2.31909385</v>
      </c>
    </row>
    <row r="67" spans="1:18">
      <c r="A67" s="15" t="s">
        <v>409</v>
      </c>
      <c r="B67" s="17" t="n">
        <v>3511</v>
      </c>
      <c r="C67" s="18">
        <f>(3133.0/B67*100)</f>
        <v/>
      </c>
      <c r="D67" s="19" t="n">
        <v>378</v>
      </c>
      <c r="E67" s="18" t="n">
        <v>78.41108072999999</v>
      </c>
      <c r="F67" s="20" t="n">
        <v>2.07201522</v>
      </c>
      <c r="G67" s="18" t="n">
        <v>8.427871140000001</v>
      </c>
      <c r="H67" s="20" t="n">
        <v>1.49000959</v>
      </c>
      <c r="I67" s="18" t="s">
        <v>349</v>
      </c>
      <c r="J67" s="20" t="s">
        <v>349</v>
      </c>
      <c r="K67" s="18" t="n">
        <v>0.46782161</v>
      </c>
      <c r="L67" s="20" t="n">
        <v>0.37332581</v>
      </c>
      <c r="M67" s="18" t="n">
        <v>0.21606062</v>
      </c>
      <c r="N67" s="20" t="n">
        <v>0.21515752</v>
      </c>
      <c r="O67" s="18" t="n">
        <v>0</v>
      </c>
      <c r="P67" s="20" t="n">
        <v>0</v>
      </c>
      <c r="Q67" s="18" t="n">
        <v>12.4771659</v>
      </c>
      <c r="R67" s="20" t="n">
        <v>1.93480146</v>
      </c>
    </row>
    <row r="68" spans="1:18">
      <c r="A68" s="15" t="s">
        <v>410</v>
      </c>
      <c r="B68" s="17" t="n">
        <v>6049</v>
      </c>
      <c r="C68" s="18">
        <f>(5049.0/B68*100)</f>
        <v/>
      </c>
      <c r="D68" s="19" t="n">
        <v>1000</v>
      </c>
      <c r="E68" s="18" t="n">
        <v>69.52231684</v>
      </c>
      <c r="F68" s="20" t="n">
        <v>1.37842628</v>
      </c>
      <c r="G68" s="18" t="n">
        <v>13.1940731</v>
      </c>
      <c r="H68" s="20" t="n">
        <v>1.13877731</v>
      </c>
      <c r="I68" s="18" t="s">
        <v>349</v>
      </c>
      <c r="J68" s="20" t="s">
        <v>349</v>
      </c>
      <c r="K68" s="18" t="n">
        <v>4.46286455</v>
      </c>
      <c r="L68" s="20" t="n">
        <v>0.66853542</v>
      </c>
      <c r="M68" s="18" t="n">
        <v>0.09744644</v>
      </c>
      <c r="N68" s="20" t="n">
        <v>0.09786785000000001</v>
      </c>
      <c r="O68" s="18" t="n">
        <v>0</v>
      </c>
      <c r="P68" s="20" t="n">
        <v>0</v>
      </c>
      <c r="Q68" s="18" t="n">
        <v>12.72329906</v>
      </c>
      <c r="R68" s="20" t="n">
        <v>1.0313552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(2550.0/B70*100)</f>
        <v/>
      </c>
      <c r="D70" s="19" t="n">
        <v>379</v>
      </c>
      <c r="E70" s="18" t="n">
        <v>61.55790815</v>
      </c>
      <c r="F70" s="20" t="n">
        <v>2.46718736</v>
      </c>
      <c r="G70" s="18" t="n">
        <v>32.26488338</v>
      </c>
      <c r="H70" s="20" t="n">
        <v>2.51121504</v>
      </c>
      <c r="I70" s="18" t="s">
        <v>349</v>
      </c>
      <c r="J70" s="20" t="s">
        <v>349</v>
      </c>
      <c r="K70" s="18" t="n">
        <v>0</v>
      </c>
      <c r="L70" s="20" t="n">
        <v>0</v>
      </c>
      <c r="M70" s="18" t="n">
        <v>0.50522196</v>
      </c>
      <c r="N70" s="20" t="n">
        <v>0.35607563</v>
      </c>
      <c r="O70" s="18" t="n">
        <v>0</v>
      </c>
      <c r="P70" s="20" t="n">
        <v>0</v>
      </c>
      <c r="Q70" s="18" t="n">
        <v>5.67198651</v>
      </c>
      <c r="R70" s="20" t="n">
        <v>1.10994166</v>
      </c>
    </row>
    <row r="71" spans="1:18">
      <c r="A71" s="15" t="s">
        <v>413</v>
      </c>
      <c r="B71" s="17" t="n">
        <v>3142</v>
      </c>
      <c r="C71" s="18">
        <f>(2754.0/B71*100)</f>
        <v/>
      </c>
      <c r="D71" s="19" t="n">
        <v>388</v>
      </c>
      <c r="E71" s="18" t="n">
        <v>51.87408978</v>
      </c>
      <c r="F71" s="20" t="n">
        <v>2.39089021</v>
      </c>
      <c r="G71" s="18" t="n">
        <v>45.56800985</v>
      </c>
      <c r="H71" s="20" t="n">
        <v>2.38121734</v>
      </c>
      <c r="I71" s="18" t="s">
        <v>349</v>
      </c>
      <c r="J71" s="20" t="s">
        <v>349</v>
      </c>
      <c r="K71" s="18" t="n">
        <v>0.15207417</v>
      </c>
      <c r="L71" s="20" t="n">
        <v>0.15462322</v>
      </c>
      <c r="M71" s="18" t="n">
        <v>0</v>
      </c>
      <c r="N71" s="20" t="n">
        <v>0</v>
      </c>
      <c r="O71" s="18" t="n">
        <v>0</v>
      </c>
      <c r="P71" s="20" t="n">
        <v>0</v>
      </c>
      <c r="Q71" s="18" t="n">
        <v>2.4058262</v>
      </c>
      <c r="R71" s="20" t="n">
        <v>0.7341618</v>
      </c>
    </row>
    <row r="72" spans="1:18">
      <c r="A72" s="15" t="s">
        <v>414</v>
      </c>
      <c r="B72" s="17" t="n">
        <v>3889</v>
      </c>
      <c r="C72" s="18">
        <f>(3420.0/B72*100)</f>
        <v/>
      </c>
      <c r="D72" s="19" t="n">
        <v>469</v>
      </c>
      <c r="E72" s="18" t="n">
        <v>40.28512229</v>
      </c>
      <c r="F72" s="20" t="n">
        <v>2.20613498</v>
      </c>
      <c r="G72" s="18" t="n">
        <v>53.12326298</v>
      </c>
      <c r="H72" s="20" t="n">
        <v>2.63504341</v>
      </c>
      <c r="I72" s="18" t="s">
        <v>349</v>
      </c>
      <c r="J72" s="20" t="s">
        <v>349</v>
      </c>
      <c r="K72" s="18" t="n">
        <v>0.39093757</v>
      </c>
      <c r="L72" s="20" t="n">
        <v>0.30508637</v>
      </c>
      <c r="M72" s="18" t="n">
        <v>0</v>
      </c>
      <c r="N72" s="20" t="n">
        <v>0</v>
      </c>
      <c r="O72" s="18" t="n">
        <v>0</v>
      </c>
      <c r="P72" s="20" t="n">
        <v>0</v>
      </c>
      <c r="Q72" s="18" t="n">
        <v>6.20067715</v>
      </c>
      <c r="R72" s="20" t="n">
        <v>1.28402298</v>
      </c>
    </row>
    <row r="73" spans="1:18">
      <c r="A73" s="15" t="s">
        <v>415</v>
      </c>
      <c r="B73" s="17" t="n">
        <v>3597</v>
      </c>
      <c r="C73" s="18">
        <f>(3180.0/B73*100)</f>
        <v/>
      </c>
      <c r="D73" s="19" t="n">
        <v>417</v>
      </c>
      <c r="E73" s="18" t="n">
        <v>90.84095846</v>
      </c>
      <c r="F73" s="20" t="n">
        <v>1.51541808</v>
      </c>
      <c r="G73" s="18" t="n">
        <v>5.94506741</v>
      </c>
      <c r="H73" s="20" t="n">
        <v>1.26590959</v>
      </c>
      <c r="I73" s="18" t="s">
        <v>349</v>
      </c>
      <c r="J73" s="20" t="s">
        <v>349</v>
      </c>
      <c r="K73" s="18" t="n">
        <v>0</v>
      </c>
      <c r="L73" s="20" t="n">
        <v>0</v>
      </c>
      <c r="M73" s="18" t="n">
        <v>0</v>
      </c>
      <c r="N73" s="20" t="n">
        <v>0</v>
      </c>
      <c r="O73" s="18" t="n">
        <v>0</v>
      </c>
      <c r="P73" s="20" t="n">
        <v>0</v>
      </c>
      <c r="Q73" s="18" t="n">
        <v>3.21397413</v>
      </c>
      <c r="R73" s="20" t="n">
        <v>1.1421699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(2146.0/B75*100)</f>
        <v/>
      </c>
      <c r="D75" s="19" t="n">
        <v>260</v>
      </c>
      <c r="E75" s="18" t="n">
        <v>61.64370487</v>
      </c>
      <c r="F75" s="20" t="n">
        <v>3.23228331</v>
      </c>
      <c r="G75" s="18" t="n">
        <v>16.6092634</v>
      </c>
      <c r="H75" s="20" t="n">
        <v>2.53188875</v>
      </c>
      <c r="I75" s="18" t="s">
        <v>349</v>
      </c>
      <c r="J75" s="20" t="s">
        <v>349</v>
      </c>
      <c r="K75" s="18" t="n">
        <v>3.44293677</v>
      </c>
      <c r="L75" s="20" t="n">
        <v>1.11564951</v>
      </c>
      <c r="M75" s="18" t="n">
        <v>0.4465328</v>
      </c>
      <c r="N75" s="20" t="n">
        <v>0.44155348</v>
      </c>
      <c r="O75" s="18" t="n">
        <v>0</v>
      </c>
      <c r="P75" s="20" t="n">
        <v>0</v>
      </c>
      <c r="Q75" s="18" t="n">
        <v>17.85756216</v>
      </c>
      <c r="R75" s="20" t="n">
        <v>2.37349817</v>
      </c>
    </row>
    <row r="76" spans="1:18">
      <c r="A76" s="15" t="s">
        <v>418</v>
      </c>
      <c r="B76" s="17" t="n">
        <v>7052</v>
      </c>
      <c r="C76" s="18">
        <f>(6187.0/B76*100)</f>
        <v/>
      </c>
      <c r="D76" s="19" t="n">
        <v>865</v>
      </c>
      <c r="E76" s="18" t="n">
        <v>70.47396759999999</v>
      </c>
      <c r="F76" s="20" t="n">
        <v>1.72112317</v>
      </c>
      <c r="G76" s="18" t="n">
        <v>18.92989518</v>
      </c>
      <c r="H76" s="20" t="n">
        <v>1.61590039</v>
      </c>
      <c r="I76" s="18" t="s">
        <v>349</v>
      </c>
      <c r="J76" s="20" t="s">
        <v>349</v>
      </c>
      <c r="K76" s="18" t="n">
        <v>1.16896861</v>
      </c>
      <c r="L76" s="20" t="n">
        <v>0.49910743</v>
      </c>
      <c r="M76" s="18" t="n">
        <v>0.05969394</v>
      </c>
      <c r="N76" s="20" t="n">
        <v>0.05984048</v>
      </c>
      <c r="O76" s="18" t="n">
        <v>0</v>
      </c>
      <c r="P76" s="20" t="n">
        <v>0</v>
      </c>
      <c r="Q76" s="18" t="n">
        <v>9.36747467</v>
      </c>
      <c r="R76" s="20" t="n">
        <v>1.17838825</v>
      </c>
    </row>
    <row r="77" spans="1:18">
      <c r="A77" s="15" t="s">
        <v>419</v>
      </c>
      <c r="B77" s="17" t="n">
        <v>2908</v>
      </c>
      <c r="C77" s="18">
        <f>(2554.0/B77*100)</f>
        <v/>
      </c>
      <c r="D77" s="19" t="n">
        <v>354</v>
      </c>
      <c r="E77" s="18" t="n">
        <v>63.2758455</v>
      </c>
      <c r="F77" s="20" t="n">
        <v>3.03027594</v>
      </c>
      <c r="G77" s="18" t="n">
        <v>11.6838029</v>
      </c>
      <c r="H77" s="20" t="n">
        <v>1.89962903</v>
      </c>
      <c r="I77" s="18" t="s">
        <v>349</v>
      </c>
      <c r="J77" s="20" t="s">
        <v>349</v>
      </c>
      <c r="K77" s="18" t="n">
        <v>3.45311427</v>
      </c>
      <c r="L77" s="20" t="n">
        <v>1.13417679</v>
      </c>
      <c r="M77" s="18" t="n">
        <v>2.67490724</v>
      </c>
      <c r="N77" s="20" t="n">
        <v>0.87870511</v>
      </c>
      <c r="O77" s="18" t="n">
        <v>0</v>
      </c>
      <c r="P77" s="20" t="n">
        <v>0</v>
      </c>
      <c r="Q77" s="18" t="n">
        <v>18.91233009</v>
      </c>
      <c r="R77" s="20" t="n">
        <v>2.21926714</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(3659.0/B81*100)</f>
        <v/>
      </c>
      <c r="D81" s="19" t="n">
        <v>504</v>
      </c>
      <c r="E81" s="18" t="n">
        <v>86.90073065</v>
      </c>
      <c r="F81" s="20" t="n">
        <v>1.96767525</v>
      </c>
      <c r="G81" s="18" t="n">
        <v>8.21597981</v>
      </c>
      <c r="H81" s="20" t="n">
        <v>1.3252028</v>
      </c>
      <c r="I81" s="18" t="s">
        <v>349</v>
      </c>
      <c r="J81" s="20" t="s">
        <v>349</v>
      </c>
      <c r="K81" s="18" t="n">
        <v>0</v>
      </c>
      <c r="L81" s="20" t="n">
        <v>0</v>
      </c>
      <c r="M81" s="18" t="n">
        <v>0</v>
      </c>
      <c r="N81" s="20" t="n">
        <v>0</v>
      </c>
      <c r="O81" s="18" t="n">
        <v>0</v>
      </c>
      <c r="P81" s="20" t="n">
        <v>0</v>
      </c>
      <c r="Q81" s="18" t="n">
        <v>4.88328954</v>
      </c>
      <c r="R81" s="20" t="n">
        <v>1.54200973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505</v>
      </c>
    </row>
    <row customHeight="1" ht="30" r="4" spans="1:20">
      <c r="A4" s="6" t="n"/>
      <c r="B4" s="7" t="s">
        <v>333</v>
      </c>
      <c r="C4" s="7" t="s">
        <v>334</v>
      </c>
      <c r="D4" s="8" t="s">
        <v>333</v>
      </c>
      <c r="E4" s="9" t="s">
        <v>335</v>
      </c>
      <c r="F4" s="10" t="n"/>
      <c r="G4" s="9" t="s">
        <v>506</v>
      </c>
      <c r="H4" s="10" t="n"/>
      <c r="I4" s="9" t="s">
        <v>336</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7367</v>
      </c>
      <c r="C7" s="18">
        <f>(6433.0/B7*100)</f>
        <v/>
      </c>
      <c r="D7" s="19" t="n">
        <v>934</v>
      </c>
      <c r="E7" s="18" t="n">
        <v>76.91288216</v>
      </c>
      <c r="F7" s="20" t="n">
        <v>1.82402737</v>
      </c>
      <c r="G7" s="18" t="n">
        <v>3.02432502</v>
      </c>
      <c r="H7" s="20" t="n">
        <v>0.73195234</v>
      </c>
      <c r="I7" s="18" t="n">
        <v>10.5937573</v>
      </c>
      <c r="J7" s="20" t="n">
        <v>1.17811505</v>
      </c>
      <c r="K7" s="18" t="s">
        <v>349</v>
      </c>
      <c r="L7" s="20" t="s">
        <v>349</v>
      </c>
      <c r="M7" s="18" t="n">
        <v>1.05270742</v>
      </c>
      <c r="N7" s="20" t="n">
        <v>0.43769745</v>
      </c>
      <c r="O7" s="18" t="n">
        <v>0</v>
      </c>
      <c r="P7" s="20" t="n">
        <v>0</v>
      </c>
      <c r="Q7" s="18" t="n">
        <v>0</v>
      </c>
      <c r="R7" s="20" t="n">
        <v>0</v>
      </c>
      <c r="S7" s="18" t="n">
        <v>8.41632809</v>
      </c>
      <c r="T7" s="20" t="n">
        <v>1.01993385</v>
      </c>
    </row>
    <row r="8" spans="1:20">
      <c r="A8" s="15" t="s">
        <v>350</v>
      </c>
      <c r="B8" s="17" t="n">
        <v>3564</v>
      </c>
      <c r="C8" s="18">
        <f>(3126.0/B8*100)</f>
        <v/>
      </c>
      <c r="D8" s="19" t="n">
        <v>438</v>
      </c>
      <c r="E8" s="18" t="n">
        <v>64.37751394</v>
      </c>
      <c r="F8" s="20" t="n">
        <v>2.68340797</v>
      </c>
      <c r="G8" s="18" t="n">
        <v>8.544706379999999</v>
      </c>
      <c r="H8" s="20" t="n">
        <v>1.41117451</v>
      </c>
      <c r="I8" s="18" t="n">
        <v>12.93584069</v>
      </c>
      <c r="J8" s="20" t="n">
        <v>1.76267345</v>
      </c>
      <c r="K8" s="18" t="s">
        <v>349</v>
      </c>
      <c r="L8" s="20" t="s">
        <v>349</v>
      </c>
      <c r="M8" s="18" t="n">
        <v>1.0615083</v>
      </c>
      <c r="N8" s="20" t="n">
        <v>0.63062027</v>
      </c>
      <c r="O8" s="18" t="n">
        <v>0</v>
      </c>
      <c r="P8" s="20" t="n">
        <v>0</v>
      </c>
      <c r="Q8" s="18" t="n">
        <v>0</v>
      </c>
      <c r="R8" s="20" t="n">
        <v>0</v>
      </c>
      <c r="S8" s="18" t="n">
        <v>13.08043069</v>
      </c>
      <c r="T8" s="20" t="n">
        <v>1.93453297</v>
      </c>
    </row>
    <row r="9" spans="1:20">
      <c r="A9" s="15" t="s">
        <v>351</v>
      </c>
      <c r="B9" s="17" t="n">
        <v>4899</v>
      </c>
      <c r="C9" s="18">
        <f>(4335.0/B9*100)</f>
        <v/>
      </c>
      <c r="D9" s="19" t="n">
        <v>564</v>
      </c>
      <c r="E9" s="18" t="n">
        <v>66.24265880999999</v>
      </c>
      <c r="F9" s="20" t="n">
        <v>2.39899379</v>
      </c>
      <c r="G9" s="18" t="n">
        <v>7.29635205</v>
      </c>
      <c r="H9" s="20" t="n">
        <v>1.18033364</v>
      </c>
      <c r="I9" s="18" t="n">
        <v>16.41269074</v>
      </c>
      <c r="J9" s="20" t="n">
        <v>1.7750076</v>
      </c>
      <c r="K9" s="18" t="s">
        <v>349</v>
      </c>
      <c r="L9" s="20" t="s">
        <v>349</v>
      </c>
      <c r="M9" s="18" t="n">
        <v>0.89068255</v>
      </c>
      <c r="N9" s="20" t="n">
        <v>0.42026969</v>
      </c>
      <c r="O9" s="18" t="n">
        <v>0</v>
      </c>
      <c r="P9" s="20" t="n">
        <v>0</v>
      </c>
      <c r="Q9" s="18" t="n">
        <v>0</v>
      </c>
      <c r="R9" s="20" t="n">
        <v>0</v>
      </c>
      <c r="S9" s="18" t="n">
        <v>9.15761584</v>
      </c>
      <c r="T9" s="20" t="n">
        <v>1.14676551</v>
      </c>
    </row>
    <row r="10" spans="1:20">
      <c r="A10" s="15" t="s">
        <v>352</v>
      </c>
      <c r="B10" s="17" t="n">
        <v>10036</v>
      </c>
      <c r="C10" s="18">
        <f>(8814.0/B10*100)</f>
        <v/>
      </c>
      <c r="D10" s="19" t="n">
        <v>1222</v>
      </c>
      <c r="E10" s="18" t="n">
        <v>73.39219002</v>
      </c>
      <c r="F10" s="20" t="n">
        <v>1.78020106</v>
      </c>
      <c r="G10" s="18" t="n">
        <v>4.89966335</v>
      </c>
      <c r="H10" s="20" t="n">
        <v>0.80625813</v>
      </c>
      <c r="I10" s="18" t="n">
        <v>14.02208684</v>
      </c>
      <c r="J10" s="20" t="n">
        <v>1.2660417</v>
      </c>
      <c r="K10" s="18" t="s">
        <v>349</v>
      </c>
      <c r="L10" s="20" t="s">
        <v>349</v>
      </c>
      <c r="M10" s="18" t="n">
        <v>1.13717351</v>
      </c>
      <c r="N10" s="20" t="n">
        <v>0.39059527</v>
      </c>
      <c r="O10" s="18" t="n">
        <v>0</v>
      </c>
      <c r="P10" s="20" t="n">
        <v>0</v>
      </c>
      <c r="Q10" s="18" t="n">
        <v>0</v>
      </c>
      <c r="R10" s="20" t="n">
        <v>0</v>
      </c>
      <c r="S10" s="18" t="n">
        <v>6.54888628</v>
      </c>
      <c r="T10" s="20" t="n">
        <v>0.9850276100000001</v>
      </c>
    </row>
    <row r="11" spans="1:20">
      <c r="A11" s="15" t="s">
        <v>353</v>
      </c>
      <c r="B11" s="17" t="n">
        <v>3553</v>
      </c>
      <c r="C11" s="18">
        <f>(3145.0/B11*100)</f>
        <v/>
      </c>
      <c r="D11" s="19" t="n">
        <v>408</v>
      </c>
      <c r="E11" s="18" t="n">
        <v>70.89694098</v>
      </c>
      <c r="F11" s="20" t="n">
        <v>2.74814888</v>
      </c>
      <c r="G11" s="18" t="n">
        <v>2.11827446</v>
      </c>
      <c r="H11" s="20" t="n">
        <v>0.78660286</v>
      </c>
      <c r="I11" s="18" t="n">
        <v>2.486659</v>
      </c>
      <c r="J11" s="20" t="n">
        <v>0.92158571</v>
      </c>
      <c r="K11" s="18" t="s">
        <v>349</v>
      </c>
      <c r="L11" s="20" t="s">
        <v>349</v>
      </c>
      <c r="M11" s="18" t="n">
        <v>3.10025446</v>
      </c>
      <c r="N11" s="20" t="n">
        <v>0.91317679</v>
      </c>
      <c r="O11" s="18" t="n">
        <v>0</v>
      </c>
      <c r="P11" s="20" t="n">
        <v>0</v>
      </c>
      <c r="Q11" s="18" t="n">
        <v>0</v>
      </c>
      <c r="R11" s="20" t="n">
        <v>0</v>
      </c>
      <c r="S11" s="18" t="n">
        <v>21.3978711</v>
      </c>
      <c r="T11" s="20" t="n">
        <v>2.46597587</v>
      </c>
    </row>
    <row r="12" spans="1:20">
      <c r="A12" s="15" t="s">
        <v>354</v>
      </c>
      <c r="B12" s="17" t="n">
        <v>3472</v>
      </c>
      <c r="C12" s="18">
        <f>(3047.0/B12*100)</f>
        <v/>
      </c>
      <c r="D12" s="19" t="n">
        <v>425</v>
      </c>
      <c r="E12" s="18" t="n">
        <v>70.28167476</v>
      </c>
      <c r="F12" s="20" t="n">
        <v>2.6941749</v>
      </c>
      <c r="G12" s="18" t="n">
        <v>3.98813859</v>
      </c>
      <c r="H12" s="20" t="n">
        <v>0.95799941</v>
      </c>
      <c r="I12" s="18" t="n">
        <v>11.43698216</v>
      </c>
      <c r="J12" s="20" t="n">
        <v>1.73974396</v>
      </c>
      <c r="K12" s="18" t="s">
        <v>349</v>
      </c>
      <c r="L12" s="20" t="s">
        <v>349</v>
      </c>
      <c r="M12" s="18" t="n">
        <v>0.73921409</v>
      </c>
      <c r="N12" s="20" t="n">
        <v>0.48890894</v>
      </c>
      <c r="O12" s="18" t="n">
        <v>0</v>
      </c>
      <c r="P12" s="20" t="n">
        <v>0</v>
      </c>
      <c r="Q12" s="18" t="n">
        <v>0</v>
      </c>
      <c r="R12" s="20" t="n">
        <v>0</v>
      </c>
      <c r="S12" s="18" t="n">
        <v>13.5539904</v>
      </c>
      <c r="T12" s="20" t="n">
        <v>2.00779442</v>
      </c>
    </row>
    <row r="13" spans="1:20">
      <c r="A13" s="15" t="s">
        <v>355</v>
      </c>
      <c r="B13" s="17" t="n">
        <v>3559</v>
      </c>
      <c r="C13" s="18">
        <f>(3156.0/B13*100)</f>
        <v/>
      </c>
      <c r="D13" s="19" t="n">
        <v>403</v>
      </c>
      <c r="E13" s="18" t="n">
        <v>77.45037738000001</v>
      </c>
      <c r="F13" s="20" t="n">
        <v>2.50973395</v>
      </c>
      <c r="G13" s="18" t="n">
        <v>4.13214741</v>
      </c>
      <c r="H13" s="20" t="n">
        <v>1.08040542</v>
      </c>
      <c r="I13" s="18" t="n">
        <v>11.94779831</v>
      </c>
      <c r="J13" s="20" t="n">
        <v>1.84408758</v>
      </c>
      <c r="K13" s="18" t="s">
        <v>349</v>
      </c>
      <c r="L13" s="20" t="s">
        <v>349</v>
      </c>
      <c r="M13" s="18" t="n">
        <v>0.3694433</v>
      </c>
      <c r="N13" s="20" t="n">
        <v>0.15454061</v>
      </c>
      <c r="O13" s="18" t="n">
        <v>0</v>
      </c>
      <c r="P13" s="20" t="n">
        <v>0</v>
      </c>
      <c r="Q13" s="18" t="n">
        <v>0</v>
      </c>
      <c r="R13" s="20" t="n">
        <v>0</v>
      </c>
      <c r="S13" s="18" t="n">
        <v>6.1002336</v>
      </c>
      <c r="T13" s="20" t="n">
        <v>1.42780761</v>
      </c>
    </row>
    <row r="14" spans="1:20">
      <c r="A14" s="15" t="s">
        <v>356</v>
      </c>
      <c r="B14" s="17" t="n">
        <v>2799</v>
      </c>
      <c r="C14" s="18">
        <f>(2451.0/B14*100)</f>
        <v/>
      </c>
      <c r="D14" s="19" t="n">
        <v>348</v>
      </c>
      <c r="E14" s="18" t="n">
        <v>73.1711904</v>
      </c>
      <c r="F14" s="20" t="n">
        <v>2.54309684</v>
      </c>
      <c r="G14" s="18" t="n">
        <v>5.48777072</v>
      </c>
      <c r="H14" s="20" t="n">
        <v>1.26629286</v>
      </c>
      <c r="I14" s="18" t="n">
        <v>12.44627481</v>
      </c>
      <c r="J14" s="20" t="n">
        <v>2.00491368</v>
      </c>
      <c r="K14" s="18" t="s">
        <v>349</v>
      </c>
      <c r="L14" s="20" t="s">
        <v>349</v>
      </c>
      <c r="M14" s="18" t="n">
        <v>0.4683645</v>
      </c>
      <c r="N14" s="20" t="n">
        <v>0.46861214</v>
      </c>
      <c r="O14" s="18" t="n">
        <v>0</v>
      </c>
      <c r="P14" s="20" t="n">
        <v>0</v>
      </c>
      <c r="Q14" s="18" t="n">
        <v>0</v>
      </c>
      <c r="R14" s="20" t="n">
        <v>0</v>
      </c>
      <c r="S14" s="18" t="n">
        <v>8.42639958</v>
      </c>
      <c r="T14" s="20" t="n">
        <v>1.76833475</v>
      </c>
    </row>
    <row r="15" spans="1:20">
      <c r="A15" s="15" t="s">
        <v>357</v>
      </c>
      <c r="B15" s="17" t="n">
        <v>3019</v>
      </c>
      <c r="C15" s="18">
        <f>(2649.0/B15*100)</f>
        <v/>
      </c>
      <c r="D15" s="19" t="n">
        <v>370</v>
      </c>
      <c r="E15" s="18" t="n">
        <v>70.03280685999999</v>
      </c>
      <c r="F15" s="20" t="n">
        <v>2.46718539</v>
      </c>
      <c r="G15" s="18" t="n">
        <v>1.72129805</v>
      </c>
      <c r="H15" s="20" t="n">
        <v>0.7440538</v>
      </c>
      <c r="I15" s="18" t="n">
        <v>12.35608847</v>
      </c>
      <c r="J15" s="20" t="n">
        <v>1.63889586</v>
      </c>
      <c r="K15" s="18" t="s">
        <v>349</v>
      </c>
      <c r="L15" s="20" t="s">
        <v>349</v>
      </c>
      <c r="M15" s="18" t="n">
        <v>1.59197842</v>
      </c>
      <c r="N15" s="20" t="n">
        <v>0.66075328</v>
      </c>
      <c r="O15" s="18" t="n">
        <v>0</v>
      </c>
      <c r="P15" s="20" t="n">
        <v>0</v>
      </c>
      <c r="Q15" s="18" t="n">
        <v>0</v>
      </c>
      <c r="R15" s="20" t="n">
        <v>0</v>
      </c>
      <c r="S15" s="18" t="n">
        <v>14.2978282</v>
      </c>
      <c r="T15" s="20" t="n">
        <v>1.96641239</v>
      </c>
    </row>
    <row r="16" spans="1:20">
      <c r="A16" s="15" t="s">
        <v>358</v>
      </c>
      <c r="B16" s="17" t="n">
        <v>2997</v>
      </c>
      <c r="C16" s="18">
        <f>(2643.0/B16*100)</f>
        <v/>
      </c>
      <c r="D16" s="19" t="n">
        <v>354</v>
      </c>
      <c r="E16" s="18" t="n">
        <v>66.20511829</v>
      </c>
      <c r="F16" s="20" t="n">
        <v>2.52201952</v>
      </c>
      <c r="G16" s="18" t="n">
        <v>5.27263047</v>
      </c>
      <c r="H16" s="20" t="n">
        <v>1.19793998</v>
      </c>
      <c r="I16" s="18" t="n">
        <v>7.75822854</v>
      </c>
      <c r="J16" s="20" t="n">
        <v>1.3578052</v>
      </c>
      <c r="K16" s="18" t="s">
        <v>349</v>
      </c>
      <c r="L16" s="20" t="s">
        <v>349</v>
      </c>
      <c r="M16" s="18" t="n">
        <v>3.06755381</v>
      </c>
      <c r="N16" s="20" t="n">
        <v>0.87883851</v>
      </c>
      <c r="O16" s="18" t="n">
        <v>0</v>
      </c>
      <c r="P16" s="20" t="n">
        <v>0</v>
      </c>
      <c r="Q16" s="18" t="n">
        <v>0</v>
      </c>
      <c r="R16" s="20" t="n">
        <v>0</v>
      </c>
      <c r="S16" s="18" t="n">
        <v>17.69646889</v>
      </c>
      <c r="T16" s="20" t="n">
        <v>2.05664554</v>
      </c>
    </row>
    <row r="17" spans="1:20">
      <c r="A17" s="15" t="s">
        <v>359</v>
      </c>
      <c r="B17" s="17" t="n">
        <v>3307</v>
      </c>
      <c r="C17" s="18">
        <f>(2928.0/B17*100)</f>
        <v/>
      </c>
      <c r="D17" s="19" t="n">
        <v>379</v>
      </c>
      <c r="E17" s="18" t="n">
        <v>68.83882436</v>
      </c>
      <c r="F17" s="20" t="n">
        <v>2.38585572</v>
      </c>
      <c r="G17" s="18" t="n">
        <v>7.51336501</v>
      </c>
      <c r="H17" s="20" t="n">
        <v>1.45062869</v>
      </c>
      <c r="I17" s="18" t="n">
        <v>11.75222241</v>
      </c>
      <c r="J17" s="20" t="n">
        <v>1.73510074</v>
      </c>
      <c r="K17" s="18" t="s">
        <v>349</v>
      </c>
      <c r="L17" s="20" t="s">
        <v>349</v>
      </c>
      <c r="M17" s="18" t="n">
        <v>0.95854993</v>
      </c>
      <c r="N17" s="20" t="n">
        <v>0.6624204</v>
      </c>
      <c r="O17" s="18" t="n">
        <v>0</v>
      </c>
      <c r="P17" s="20" t="n">
        <v>0</v>
      </c>
      <c r="Q17" s="18" t="n">
        <v>0</v>
      </c>
      <c r="R17" s="20" t="n">
        <v>0</v>
      </c>
      <c r="S17" s="18" t="n">
        <v>10.93703828</v>
      </c>
      <c r="T17" s="20" t="n">
        <v>1.86827705</v>
      </c>
    </row>
    <row r="18" spans="1:20">
      <c r="A18" s="15" t="s">
        <v>360</v>
      </c>
      <c r="B18" s="17" t="n">
        <v>2826</v>
      </c>
      <c r="C18" s="18">
        <f>(2479.0/B18*100)</f>
        <v/>
      </c>
      <c r="D18" s="19" t="n">
        <v>347</v>
      </c>
      <c r="E18" s="18" t="n">
        <v>76.00183767999999</v>
      </c>
      <c r="F18" s="20" t="n">
        <v>3.09314155</v>
      </c>
      <c r="G18" s="18" t="n">
        <v>5.73903131</v>
      </c>
      <c r="H18" s="20" t="n">
        <v>1.48155196</v>
      </c>
      <c r="I18" s="18" t="n">
        <v>4.05800105</v>
      </c>
      <c r="J18" s="20" t="n">
        <v>1.12066432</v>
      </c>
      <c r="K18" s="18" t="s">
        <v>349</v>
      </c>
      <c r="L18" s="20" t="s">
        <v>349</v>
      </c>
      <c r="M18" s="18" t="n">
        <v>3.23071358</v>
      </c>
      <c r="N18" s="20" t="n">
        <v>1.23080157</v>
      </c>
      <c r="O18" s="18" t="n">
        <v>0</v>
      </c>
      <c r="P18" s="20" t="n">
        <v>0</v>
      </c>
      <c r="Q18" s="18" t="n">
        <v>0</v>
      </c>
      <c r="R18" s="20" t="n">
        <v>0</v>
      </c>
      <c r="S18" s="18" t="n">
        <v>10.97041639</v>
      </c>
      <c r="T18" s="20" t="n">
        <v>2.33725827</v>
      </c>
    </row>
    <row r="19" spans="1:20">
      <c r="A19" s="15" t="s">
        <v>361</v>
      </c>
      <c r="B19" s="17" t="n">
        <v>2808</v>
      </c>
      <c r="C19" s="18">
        <f>(2460.0/B19*100)</f>
        <v/>
      </c>
      <c r="D19" s="19" t="n">
        <v>348</v>
      </c>
      <c r="E19" s="18" t="n">
        <v>76.0457148</v>
      </c>
      <c r="F19" s="20" t="n">
        <v>1.99835439</v>
      </c>
      <c r="G19" s="18" t="n">
        <v>4.17565859</v>
      </c>
      <c r="H19" s="20" t="n">
        <v>1.13634269</v>
      </c>
      <c r="I19" s="18" t="n">
        <v>5.93153828</v>
      </c>
      <c r="J19" s="20" t="n">
        <v>1.13436368</v>
      </c>
      <c r="K19" s="18" t="s">
        <v>349</v>
      </c>
      <c r="L19" s="20" t="s">
        <v>349</v>
      </c>
      <c r="M19" s="18" t="n">
        <v>0.56697071</v>
      </c>
      <c r="N19" s="20" t="n">
        <v>0.28437572</v>
      </c>
      <c r="O19" s="18" t="n">
        <v>0</v>
      </c>
      <c r="P19" s="20" t="n">
        <v>0</v>
      </c>
      <c r="Q19" s="18" t="n">
        <v>0</v>
      </c>
      <c r="R19" s="20" t="n">
        <v>0</v>
      </c>
      <c r="S19" s="18" t="n">
        <v>13.28011763</v>
      </c>
      <c r="T19" s="20" t="n">
        <v>1.69085451</v>
      </c>
    </row>
    <row r="20" spans="1:20">
      <c r="A20" s="15" t="s">
        <v>362</v>
      </c>
      <c r="B20" s="17" t="n">
        <v>1630</v>
      </c>
      <c r="C20" s="18">
        <f>(1438.0/B20*100)</f>
        <v/>
      </c>
      <c r="D20" s="19" t="n">
        <v>192</v>
      </c>
      <c r="E20" s="18" t="n">
        <v>70.26171029</v>
      </c>
      <c r="F20" s="20" t="n">
        <v>3.32780911</v>
      </c>
      <c r="G20" s="18" t="n">
        <v>5.18811557</v>
      </c>
      <c r="H20" s="20" t="n">
        <v>1.67022379</v>
      </c>
      <c r="I20" s="18" t="n">
        <v>7.59635016</v>
      </c>
      <c r="J20" s="20" t="n">
        <v>2.20477785</v>
      </c>
      <c r="K20" s="18" t="s">
        <v>349</v>
      </c>
      <c r="L20" s="20" t="s">
        <v>349</v>
      </c>
      <c r="M20" s="18" t="n">
        <v>1.52323007</v>
      </c>
      <c r="N20" s="20" t="n">
        <v>0.8373187600000001</v>
      </c>
      <c r="O20" s="18" t="n">
        <v>0</v>
      </c>
      <c r="P20" s="20" t="n">
        <v>0</v>
      </c>
      <c r="Q20" s="18" t="n">
        <v>0</v>
      </c>
      <c r="R20" s="20" t="n">
        <v>0</v>
      </c>
      <c r="S20" s="18" t="n">
        <v>15.4305939</v>
      </c>
      <c r="T20" s="20" t="n">
        <v>2.99837785</v>
      </c>
    </row>
    <row r="21" spans="1:20">
      <c r="A21" s="15" t="s">
        <v>363</v>
      </c>
      <c r="B21" s="17" t="n">
        <v>2908</v>
      </c>
      <c r="C21" s="18">
        <f>(2401.0/B21*100)</f>
        <v/>
      </c>
      <c r="D21" s="19" t="n">
        <v>507</v>
      </c>
      <c r="E21" s="18" t="n">
        <v>75.56576283</v>
      </c>
      <c r="F21" s="20" t="n">
        <v>1.90012516</v>
      </c>
      <c r="G21" s="18" t="n">
        <v>5.7367395</v>
      </c>
      <c r="H21" s="20" t="n">
        <v>1.06808481</v>
      </c>
      <c r="I21" s="18" t="n">
        <v>11.52361913</v>
      </c>
      <c r="J21" s="20" t="n">
        <v>1.30307587</v>
      </c>
      <c r="K21" s="18" t="s">
        <v>349</v>
      </c>
      <c r="L21" s="20" t="s">
        <v>349</v>
      </c>
      <c r="M21" s="18" t="n">
        <v>0.78188792</v>
      </c>
      <c r="N21" s="20" t="n">
        <v>0.3925524</v>
      </c>
      <c r="O21" s="18" t="n">
        <v>0</v>
      </c>
      <c r="P21" s="20" t="n">
        <v>0</v>
      </c>
      <c r="Q21" s="18" t="n">
        <v>0</v>
      </c>
      <c r="R21" s="20" t="n">
        <v>0</v>
      </c>
      <c r="S21" s="18" t="n">
        <v>6.39199061</v>
      </c>
      <c r="T21" s="20" t="n">
        <v>1.19900279</v>
      </c>
    </row>
    <row r="22" spans="1:20">
      <c r="A22" s="15" t="s">
        <v>364</v>
      </c>
      <c r="B22" s="17" t="n">
        <v>2931</v>
      </c>
      <c r="C22" s="18">
        <f>(2567.0/B22*100)</f>
        <v/>
      </c>
      <c r="D22" s="19" t="n">
        <v>364</v>
      </c>
      <c r="E22" s="18" t="n">
        <v>71.63475972000001</v>
      </c>
      <c r="F22" s="20" t="n">
        <v>2.84253741</v>
      </c>
      <c r="G22" s="18" t="n">
        <v>4.50232546</v>
      </c>
      <c r="H22" s="20" t="n">
        <v>1.16346304</v>
      </c>
      <c r="I22" s="18" t="n">
        <v>6.75957163</v>
      </c>
      <c r="J22" s="20" t="n">
        <v>1.41950922</v>
      </c>
      <c r="K22" s="18" t="s">
        <v>349</v>
      </c>
      <c r="L22" s="20" t="s">
        <v>349</v>
      </c>
      <c r="M22" s="18" t="n">
        <v>1.83232662</v>
      </c>
      <c r="N22" s="20" t="n">
        <v>0.77659881</v>
      </c>
      <c r="O22" s="18" t="n">
        <v>0</v>
      </c>
      <c r="P22" s="20" t="n">
        <v>0</v>
      </c>
      <c r="Q22" s="18" t="n">
        <v>0</v>
      </c>
      <c r="R22" s="20" t="n">
        <v>0</v>
      </c>
      <c r="S22" s="18" t="n">
        <v>15.27101657</v>
      </c>
      <c r="T22" s="20" t="n">
        <v>2.49326082</v>
      </c>
    </row>
    <row r="23" spans="1:20">
      <c r="A23" s="15" t="s">
        <v>365</v>
      </c>
      <c r="B23" s="17" t="n">
        <v>5791</v>
      </c>
      <c r="C23" s="18">
        <f>(5097.0/B23*100)</f>
        <v/>
      </c>
      <c r="D23" s="19" t="n">
        <v>694</v>
      </c>
      <c r="E23" s="18" t="n">
        <v>65.5310367</v>
      </c>
      <c r="F23" s="20" t="n">
        <v>2.78259282</v>
      </c>
      <c r="G23" s="18" t="n">
        <v>7.56071257</v>
      </c>
      <c r="H23" s="20" t="n">
        <v>1.25811324</v>
      </c>
      <c r="I23" s="18" t="n">
        <v>8.869248369999999</v>
      </c>
      <c r="J23" s="20" t="n">
        <v>1.52670614</v>
      </c>
      <c r="K23" s="18" t="s">
        <v>349</v>
      </c>
      <c r="L23" s="20" t="s">
        <v>349</v>
      </c>
      <c r="M23" s="18" t="n">
        <v>2.81633785</v>
      </c>
      <c r="N23" s="20" t="n">
        <v>1.30728678</v>
      </c>
      <c r="O23" s="18" t="n">
        <v>0</v>
      </c>
      <c r="P23" s="20" t="n">
        <v>0</v>
      </c>
      <c r="Q23" s="18" t="n">
        <v>0</v>
      </c>
      <c r="R23" s="20" t="n">
        <v>0</v>
      </c>
      <c r="S23" s="18" t="n">
        <v>15.22266451</v>
      </c>
      <c r="T23" s="20" t="n">
        <v>2.20248311</v>
      </c>
    </row>
    <row r="24" spans="1:20">
      <c r="A24" s="15" t="s">
        <v>366</v>
      </c>
      <c r="B24" s="17" t="n">
        <v>3338</v>
      </c>
      <c r="C24" s="18">
        <f>(2942.0/B24*100)</f>
        <v/>
      </c>
      <c r="D24" s="19" t="n">
        <v>396</v>
      </c>
      <c r="E24" s="18" t="n">
        <v>63.18046308</v>
      </c>
      <c r="F24" s="20" t="n">
        <v>2.49256817</v>
      </c>
      <c r="G24" s="18" t="n">
        <v>6.04791216</v>
      </c>
      <c r="H24" s="20" t="n">
        <v>1.20124171</v>
      </c>
      <c r="I24" s="18" t="n">
        <v>17.33010925</v>
      </c>
      <c r="J24" s="20" t="n">
        <v>1.89389582</v>
      </c>
      <c r="K24" s="18" t="s">
        <v>349</v>
      </c>
      <c r="L24" s="20" t="s">
        <v>349</v>
      </c>
      <c r="M24" s="18" t="n">
        <v>0.41934312</v>
      </c>
      <c r="N24" s="20" t="n">
        <v>0.30356336</v>
      </c>
      <c r="O24" s="18" t="n">
        <v>0</v>
      </c>
      <c r="P24" s="20" t="n">
        <v>0</v>
      </c>
      <c r="Q24" s="18" t="n">
        <v>0</v>
      </c>
      <c r="R24" s="20" t="n">
        <v>0</v>
      </c>
      <c r="S24" s="18" t="n">
        <v>13.02217238</v>
      </c>
      <c r="T24" s="20" t="n">
        <v>2.08167325</v>
      </c>
    </row>
    <row r="25" spans="1:20">
      <c r="A25" s="15" t="s">
        <v>367</v>
      </c>
      <c r="B25" s="17" t="n">
        <v>2912</v>
      </c>
      <c r="C25" s="18">
        <f>(2539.0/B25*100)</f>
        <v/>
      </c>
      <c r="D25" s="19" t="n">
        <v>373</v>
      </c>
      <c r="E25" s="18" t="n">
        <v>68.49187969</v>
      </c>
      <c r="F25" s="20" t="n">
        <v>2.47959508</v>
      </c>
      <c r="G25" s="18" t="n">
        <v>3.65257</v>
      </c>
      <c r="H25" s="20" t="n">
        <v>0.9449898799999999</v>
      </c>
      <c r="I25" s="18" t="n">
        <v>16.02105204</v>
      </c>
      <c r="J25" s="20" t="n">
        <v>2.08639203</v>
      </c>
      <c r="K25" s="18" t="s">
        <v>349</v>
      </c>
      <c r="L25" s="20" t="s">
        <v>349</v>
      </c>
      <c r="M25" s="18" t="n">
        <v>1.91782774</v>
      </c>
      <c r="N25" s="20" t="n">
        <v>0.72002429</v>
      </c>
      <c r="O25" s="18" t="n">
        <v>0</v>
      </c>
      <c r="P25" s="20" t="n">
        <v>0</v>
      </c>
      <c r="Q25" s="18" t="n">
        <v>0</v>
      </c>
      <c r="R25" s="20" t="n">
        <v>0</v>
      </c>
      <c r="S25" s="18" t="n">
        <v>9.916670529999999</v>
      </c>
      <c r="T25" s="20" t="n">
        <v>1.60661114</v>
      </c>
    </row>
    <row r="26" spans="1:20">
      <c r="A26" s="15" t="s">
        <v>368</v>
      </c>
      <c r="B26" s="17" t="n">
        <v>2450</v>
      </c>
      <c r="C26" s="18">
        <f>(2138.0/B26*100)</f>
        <v/>
      </c>
      <c r="D26" s="19" t="n">
        <v>312</v>
      </c>
      <c r="E26" s="18" t="n">
        <v>76.91379108</v>
      </c>
      <c r="F26" s="20" t="n">
        <v>2.20396199</v>
      </c>
      <c r="G26" s="18" t="n">
        <v>6.50122249</v>
      </c>
      <c r="H26" s="20" t="n">
        <v>1.58173509</v>
      </c>
      <c r="I26" s="18" t="n">
        <v>5.03510748</v>
      </c>
      <c r="J26" s="20" t="n">
        <v>1.32850084</v>
      </c>
      <c r="K26" s="18" t="s">
        <v>349</v>
      </c>
      <c r="L26" s="20" t="s">
        <v>349</v>
      </c>
      <c r="M26" s="18" t="n">
        <v>0.77783004</v>
      </c>
      <c r="N26" s="20" t="n">
        <v>0.45399043</v>
      </c>
      <c r="O26" s="18" t="n">
        <v>0</v>
      </c>
      <c r="P26" s="20" t="n">
        <v>0</v>
      </c>
      <c r="Q26" s="18" t="n">
        <v>0</v>
      </c>
      <c r="R26" s="20" t="n">
        <v>0</v>
      </c>
      <c r="S26" s="18" t="n">
        <v>10.77204891</v>
      </c>
      <c r="T26" s="20" t="n">
        <v>1.66494046</v>
      </c>
    </row>
    <row r="27" spans="1:20">
      <c r="A27" s="15" t="s">
        <v>369</v>
      </c>
      <c r="B27" s="17" t="n">
        <v>2616</v>
      </c>
      <c r="C27" s="18">
        <f>(2308.0/B27*100)</f>
        <v/>
      </c>
      <c r="D27" s="19" t="n">
        <v>308</v>
      </c>
      <c r="E27" s="18" t="n">
        <v>71.76186102</v>
      </c>
      <c r="F27" s="20" t="n">
        <v>2.4791882</v>
      </c>
      <c r="G27" s="18" t="n">
        <v>6.14918196</v>
      </c>
      <c r="H27" s="20" t="n">
        <v>1.41888136</v>
      </c>
      <c r="I27" s="18" t="n">
        <v>9.41912664</v>
      </c>
      <c r="J27" s="20" t="n">
        <v>1.56917141</v>
      </c>
      <c r="K27" s="18" t="s">
        <v>349</v>
      </c>
      <c r="L27" s="20" t="s">
        <v>349</v>
      </c>
      <c r="M27" s="18" t="n">
        <v>2.29753878</v>
      </c>
      <c r="N27" s="20" t="n">
        <v>0.85585259</v>
      </c>
      <c r="O27" s="18" t="n">
        <v>0</v>
      </c>
      <c r="P27" s="20" t="n">
        <v>0</v>
      </c>
      <c r="Q27" s="18" t="n">
        <v>0</v>
      </c>
      <c r="R27" s="20" t="n">
        <v>0</v>
      </c>
      <c r="S27" s="18" t="n">
        <v>10.37229159</v>
      </c>
      <c r="T27" s="20" t="n">
        <v>1.88340229</v>
      </c>
    </row>
    <row r="28" spans="1:20">
      <c r="A28" s="15" t="s">
        <v>370</v>
      </c>
      <c r="B28" s="17" t="n">
        <v>3765</v>
      </c>
      <c r="C28" s="18">
        <f>(3311.0/B28*100)</f>
        <v/>
      </c>
      <c r="D28" s="19" t="n">
        <v>454</v>
      </c>
      <c r="E28" s="18" t="n">
        <v>86.57146973</v>
      </c>
      <c r="F28" s="20" t="n">
        <v>2.03315536</v>
      </c>
      <c r="G28" s="18" t="n">
        <v>1.72380496</v>
      </c>
      <c r="H28" s="20" t="n">
        <v>0.56114172</v>
      </c>
      <c r="I28" s="18" t="n">
        <v>0.32846891</v>
      </c>
      <c r="J28" s="20" t="n">
        <v>0.24366415</v>
      </c>
      <c r="K28" s="18" t="s">
        <v>349</v>
      </c>
      <c r="L28" s="20" t="s">
        <v>349</v>
      </c>
      <c r="M28" s="18" t="n">
        <v>1.91517236</v>
      </c>
      <c r="N28" s="20" t="n">
        <v>0.85212903</v>
      </c>
      <c r="O28" s="18" t="n">
        <v>0</v>
      </c>
      <c r="P28" s="20" t="n">
        <v>0</v>
      </c>
      <c r="Q28" s="18" t="n">
        <v>0</v>
      </c>
      <c r="R28" s="20" t="n">
        <v>0</v>
      </c>
      <c r="S28" s="18" t="n">
        <v>9.461084039999999</v>
      </c>
      <c r="T28" s="20" t="n">
        <v>1.64930843</v>
      </c>
    </row>
    <row r="29" spans="1:20">
      <c r="A29" s="15" t="s">
        <v>371</v>
      </c>
      <c r="B29" s="17" t="n">
        <v>2685</v>
      </c>
      <c r="C29" s="18">
        <f>(2352.0/B29*100)</f>
        <v/>
      </c>
      <c r="D29" s="19" t="n">
        <v>333</v>
      </c>
      <c r="E29" s="18" t="n">
        <v>69.66790128</v>
      </c>
      <c r="F29" s="20" t="n">
        <v>2.72719072</v>
      </c>
      <c r="G29" s="18" t="n">
        <v>9.387795049999999</v>
      </c>
      <c r="H29" s="20" t="n">
        <v>1.78012711</v>
      </c>
      <c r="I29" s="18" t="n">
        <v>16.62931137</v>
      </c>
      <c r="J29" s="20" t="n">
        <v>2.3743501</v>
      </c>
      <c r="K29" s="18" t="s">
        <v>349</v>
      </c>
      <c r="L29" s="20" t="s">
        <v>349</v>
      </c>
      <c r="M29" s="18" t="n">
        <v>0.70191518</v>
      </c>
      <c r="N29" s="20" t="n">
        <v>0.46673913</v>
      </c>
      <c r="O29" s="18" t="n">
        <v>0</v>
      </c>
      <c r="P29" s="20" t="n">
        <v>0</v>
      </c>
      <c r="Q29" s="18" t="n">
        <v>0</v>
      </c>
      <c r="R29" s="20" t="n">
        <v>0</v>
      </c>
      <c r="S29" s="18" t="n">
        <v>3.61307712</v>
      </c>
      <c r="T29" s="20" t="n">
        <v>1.07035643</v>
      </c>
    </row>
    <row r="30" spans="1:20">
      <c r="A30" s="15" t="s">
        <v>372</v>
      </c>
      <c r="B30" s="17" t="n">
        <v>2263</v>
      </c>
      <c r="C30" s="18">
        <f>(2003.0/B30*100)</f>
        <v/>
      </c>
      <c r="D30" s="19" t="n">
        <v>260</v>
      </c>
      <c r="E30" s="18" t="n">
        <v>77.66127287</v>
      </c>
      <c r="F30" s="20" t="n">
        <v>3.11951181</v>
      </c>
      <c r="G30" s="18" t="n">
        <v>0.58120118</v>
      </c>
      <c r="H30" s="20" t="n">
        <v>0.41581285</v>
      </c>
      <c r="I30" s="18" t="n">
        <v>12.70930049</v>
      </c>
      <c r="J30" s="20" t="n">
        <v>2.39168714</v>
      </c>
      <c r="K30" s="18" t="s">
        <v>349</v>
      </c>
      <c r="L30" s="20" t="s">
        <v>349</v>
      </c>
      <c r="M30" s="18" t="n">
        <v>0.85063721</v>
      </c>
      <c r="N30" s="20" t="n">
        <v>0.56983333</v>
      </c>
      <c r="O30" s="18" t="n">
        <v>0</v>
      </c>
      <c r="P30" s="20" t="n">
        <v>0</v>
      </c>
      <c r="Q30" s="18" t="n">
        <v>0</v>
      </c>
      <c r="R30" s="20" t="n">
        <v>0</v>
      </c>
      <c r="S30" s="18" t="n">
        <v>8.197588250000001</v>
      </c>
      <c r="T30" s="20" t="n">
        <v>1.6569509</v>
      </c>
    </row>
    <row r="31" spans="1:20">
      <c r="A31" s="15" t="s">
        <v>373</v>
      </c>
      <c r="B31" s="17" t="n">
        <v>2750</v>
      </c>
      <c r="C31" s="18">
        <f>(2423.0/B31*100)</f>
        <v/>
      </c>
      <c r="D31" s="19" t="n">
        <v>327</v>
      </c>
      <c r="E31" s="18" t="n">
        <v>70.27857947</v>
      </c>
      <c r="F31" s="20" t="n">
        <v>2.46172416</v>
      </c>
      <c r="G31" s="18" t="n">
        <v>1.92766295</v>
      </c>
      <c r="H31" s="20" t="n">
        <v>0.78589897</v>
      </c>
      <c r="I31" s="18" t="n">
        <v>8.601918939999999</v>
      </c>
      <c r="J31" s="20" t="n">
        <v>1.57787661</v>
      </c>
      <c r="K31" s="18" t="s">
        <v>349</v>
      </c>
      <c r="L31" s="20" t="s">
        <v>349</v>
      </c>
      <c r="M31" s="18" t="n">
        <v>1.7862915</v>
      </c>
      <c r="N31" s="20" t="n">
        <v>0.72057673</v>
      </c>
      <c r="O31" s="18" t="n">
        <v>0</v>
      </c>
      <c r="P31" s="20" t="n">
        <v>0</v>
      </c>
      <c r="Q31" s="18" t="n">
        <v>0</v>
      </c>
      <c r="R31" s="20" t="n">
        <v>0</v>
      </c>
      <c r="S31" s="18" t="n">
        <v>17.40554714</v>
      </c>
      <c r="T31" s="20" t="n">
        <v>2.15048663</v>
      </c>
    </row>
    <row r="32" spans="1:20">
      <c r="A32" s="15" t="s">
        <v>374</v>
      </c>
      <c r="B32" s="17" t="n">
        <v>2269</v>
      </c>
      <c r="C32" s="18">
        <f>(1894.0/B32*100)</f>
        <v/>
      </c>
      <c r="D32" s="19" t="n">
        <v>375</v>
      </c>
      <c r="E32" s="18" t="n">
        <v>70.21033966</v>
      </c>
      <c r="F32" s="20" t="n">
        <v>2.19431063</v>
      </c>
      <c r="G32" s="18" t="n">
        <v>4.46425665</v>
      </c>
      <c r="H32" s="20" t="n">
        <v>1.0695212</v>
      </c>
      <c r="I32" s="18" t="n">
        <v>11.22531143</v>
      </c>
      <c r="J32" s="20" t="n">
        <v>1.78802406</v>
      </c>
      <c r="K32" s="18" t="s">
        <v>349</v>
      </c>
      <c r="L32" s="20" t="s">
        <v>349</v>
      </c>
      <c r="M32" s="18" t="n">
        <v>0.47075236</v>
      </c>
      <c r="N32" s="20" t="n">
        <v>0.33563922</v>
      </c>
      <c r="O32" s="18" t="n">
        <v>0</v>
      </c>
      <c r="P32" s="20" t="n">
        <v>0</v>
      </c>
      <c r="Q32" s="18" t="n">
        <v>0</v>
      </c>
      <c r="R32" s="20" t="n">
        <v>0</v>
      </c>
      <c r="S32" s="18" t="n">
        <v>13.62933991</v>
      </c>
      <c r="T32" s="20" t="n">
        <v>1.91013239</v>
      </c>
    </row>
    <row r="33" spans="1:20">
      <c r="A33" s="15" t="s">
        <v>375</v>
      </c>
      <c r="B33" s="17" t="n">
        <v>3674</v>
      </c>
      <c r="C33" s="18">
        <f>(3232.0/B33*100)</f>
        <v/>
      </c>
      <c r="D33" s="19" t="n">
        <v>442</v>
      </c>
      <c r="E33" s="18" t="n">
        <v>73.94653080000001</v>
      </c>
      <c r="F33" s="20" t="n">
        <v>2.460669</v>
      </c>
      <c r="G33" s="18" t="n">
        <v>6.04668599</v>
      </c>
      <c r="H33" s="20" t="n">
        <v>1.13709178</v>
      </c>
      <c r="I33" s="18" t="n">
        <v>5.21394656</v>
      </c>
      <c r="J33" s="20" t="n">
        <v>1.51025516</v>
      </c>
      <c r="K33" s="18" t="s">
        <v>349</v>
      </c>
      <c r="L33" s="20" t="s">
        <v>349</v>
      </c>
      <c r="M33" s="18" t="n">
        <v>0.32856311</v>
      </c>
      <c r="N33" s="20" t="n">
        <v>0.28768663</v>
      </c>
      <c r="O33" s="18" t="n">
        <v>0</v>
      </c>
      <c r="P33" s="20" t="n">
        <v>0</v>
      </c>
      <c r="Q33" s="18" t="n">
        <v>0</v>
      </c>
      <c r="R33" s="20" t="n">
        <v>0</v>
      </c>
      <c r="S33" s="18" t="n">
        <v>14.46427354</v>
      </c>
      <c r="T33" s="20" t="n">
        <v>1.98535199</v>
      </c>
    </row>
    <row r="34" spans="1:20">
      <c r="A34" s="15" t="s">
        <v>376</v>
      </c>
      <c r="B34" s="17" t="n">
        <v>3315</v>
      </c>
      <c r="C34" s="18">
        <f>(2932.0/B34*100)</f>
        <v/>
      </c>
      <c r="D34" s="19" t="n">
        <v>383</v>
      </c>
      <c r="E34" s="18" t="n">
        <v>79.16152705</v>
      </c>
      <c r="F34" s="20" t="n">
        <v>2.08671387</v>
      </c>
      <c r="G34" s="18" t="n">
        <v>3.01995249</v>
      </c>
      <c r="H34" s="20" t="n">
        <v>0.88178131</v>
      </c>
      <c r="I34" s="18" t="n">
        <v>7.74591411</v>
      </c>
      <c r="J34" s="20" t="n">
        <v>1.56910745</v>
      </c>
      <c r="K34" s="18" t="s">
        <v>349</v>
      </c>
      <c r="L34" s="20" t="s">
        <v>349</v>
      </c>
      <c r="M34" s="18" t="n">
        <v>0.39092381</v>
      </c>
      <c r="N34" s="20" t="n">
        <v>0.38972514</v>
      </c>
      <c r="O34" s="18" t="n">
        <v>0</v>
      </c>
      <c r="P34" s="20" t="n">
        <v>0</v>
      </c>
      <c r="Q34" s="18" t="n">
        <v>0</v>
      </c>
      <c r="R34" s="20" t="n">
        <v>0</v>
      </c>
      <c r="S34" s="18" t="n">
        <v>9.681682540000001</v>
      </c>
      <c r="T34" s="20" t="n">
        <v>1.62186833</v>
      </c>
    </row>
    <row r="35" spans="1:20">
      <c r="A35" s="15" t="s">
        <v>377</v>
      </c>
      <c r="B35" s="17" t="n">
        <v>3505</v>
      </c>
      <c r="C35" s="18">
        <f>(3100.0/B35*100)</f>
        <v/>
      </c>
      <c r="D35" s="19" t="n">
        <v>405</v>
      </c>
      <c r="E35" s="18" t="n">
        <v>75.31476696</v>
      </c>
      <c r="F35" s="20" t="n">
        <v>2.86032068</v>
      </c>
      <c r="G35" s="18" t="n">
        <v>8.969836920000001</v>
      </c>
      <c r="H35" s="20" t="n">
        <v>1.90679824</v>
      </c>
      <c r="I35" s="18" t="n">
        <v>6.69973843</v>
      </c>
      <c r="J35" s="20" t="n">
        <v>1.77854576</v>
      </c>
      <c r="K35" s="18" t="s">
        <v>349</v>
      </c>
      <c r="L35" s="20" t="s">
        <v>349</v>
      </c>
      <c r="M35" s="18" t="n">
        <v>0.75280707</v>
      </c>
      <c r="N35" s="20" t="n">
        <v>0.40143281</v>
      </c>
      <c r="O35" s="18" t="n">
        <v>0</v>
      </c>
      <c r="P35" s="20" t="n">
        <v>0</v>
      </c>
      <c r="Q35" s="18" t="n">
        <v>0</v>
      </c>
      <c r="R35" s="20" t="n">
        <v>0</v>
      </c>
      <c r="S35" s="18" t="n">
        <v>8.26285062</v>
      </c>
      <c r="T35" s="20" t="n">
        <v>1.55210478</v>
      </c>
    </row>
    <row r="36" spans="1:20">
      <c r="A36" s="15" t="s">
        <v>378</v>
      </c>
      <c r="B36" s="17" t="n">
        <v>3332</v>
      </c>
      <c r="C36" s="18">
        <f>(2943.0/B36*100)</f>
        <v/>
      </c>
      <c r="D36" s="19" t="n">
        <v>389</v>
      </c>
      <c r="E36" s="18" t="n">
        <v>75.48250563000001</v>
      </c>
      <c r="F36" s="20" t="n">
        <v>2.1979139</v>
      </c>
      <c r="G36" s="18" t="n">
        <v>8.562232229999999</v>
      </c>
      <c r="H36" s="20" t="n">
        <v>1.54056177</v>
      </c>
      <c r="I36" s="18" t="n">
        <v>6.86442799</v>
      </c>
      <c r="J36" s="20" t="n">
        <v>1.15718343</v>
      </c>
      <c r="K36" s="18" t="s">
        <v>349</v>
      </c>
      <c r="L36" s="20" t="s">
        <v>349</v>
      </c>
      <c r="M36" s="18" t="n">
        <v>0.89607755</v>
      </c>
      <c r="N36" s="20" t="n">
        <v>0.46344826</v>
      </c>
      <c r="O36" s="18" t="n">
        <v>0</v>
      </c>
      <c r="P36" s="20" t="n">
        <v>0</v>
      </c>
      <c r="Q36" s="18" t="n">
        <v>0</v>
      </c>
      <c r="R36" s="20" t="n">
        <v>0</v>
      </c>
      <c r="S36" s="18" t="n">
        <v>8.194756590000001</v>
      </c>
      <c r="T36" s="20" t="n">
        <v>1.70061223</v>
      </c>
    </row>
    <row r="37" spans="1:20">
      <c r="A37" s="15" t="s">
        <v>379</v>
      </c>
      <c r="B37" s="17" t="n">
        <v>2727</v>
      </c>
      <c r="C37" s="18">
        <f>(2402.0/B37*100)</f>
        <v/>
      </c>
      <c r="D37" s="19" t="n">
        <v>325</v>
      </c>
      <c r="E37" s="18" t="n">
        <v>62.62112656</v>
      </c>
      <c r="F37" s="20" t="n">
        <v>2.83575829</v>
      </c>
      <c r="G37" s="18" t="n">
        <v>2.13226137</v>
      </c>
      <c r="H37" s="20" t="n">
        <v>0.8197213</v>
      </c>
      <c r="I37" s="18" t="n">
        <v>11.88829944</v>
      </c>
      <c r="J37" s="20" t="n">
        <v>2.28011889</v>
      </c>
      <c r="K37" s="18" t="s">
        <v>349</v>
      </c>
      <c r="L37" s="20" t="s">
        <v>349</v>
      </c>
      <c r="M37" s="18" t="n">
        <v>3.32976166</v>
      </c>
      <c r="N37" s="20" t="n">
        <v>1.18441583</v>
      </c>
      <c r="O37" s="18" t="n">
        <v>0</v>
      </c>
      <c r="P37" s="20" t="n">
        <v>0</v>
      </c>
      <c r="Q37" s="18" t="n">
        <v>0</v>
      </c>
      <c r="R37" s="20" t="n">
        <v>0</v>
      </c>
      <c r="S37" s="18" t="n">
        <v>20.02855097</v>
      </c>
      <c r="T37" s="20" t="n">
        <v>2.10793079</v>
      </c>
    </row>
    <row r="38" spans="1:20">
      <c r="A38" s="15" t="s">
        <v>380</v>
      </c>
      <c r="B38" s="17" t="n">
        <v>3053</v>
      </c>
      <c r="C38" s="18">
        <f>(2526.0/B38*100)</f>
        <v/>
      </c>
      <c r="D38" s="19" t="n">
        <v>527</v>
      </c>
      <c r="E38" s="18" t="n">
        <v>65.15298435</v>
      </c>
      <c r="F38" s="20" t="n">
        <v>2.62758454</v>
      </c>
      <c r="G38" s="18" t="n">
        <v>7.53176856</v>
      </c>
      <c r="H38" s="20" t="n">
        <v>1.31580673</v>
      </c>
      <c r="I38" s="18" t="n">
        <v>18.0311925</v>
      </c>
      <c r="J38" s="20" t="n">
        <v>1.89226505</v>
      </c>
      <c r="K38" s="18" t="s">
        <v>349</v>
      </c>
      <c r="L38" s="20" t="s">
        <v>349</v>
      </c>
      <c r="M38" s="18" t="n">
        <v>1.74232817</v>
      </c>
      <c r="N38" s="20" t="n">
        <v>0.6164087700000001</v>
      </c>
      <c r="O38" s="18" t="n">
        <v>0</v>
      </c>
      <c r="P38" s="20" t="n">
        <v>0</v>
      </c>
      <c r="Q38" s="18" t="n">
        <v>0</v>
      </c>
      <c r="R38" s="20" t="n">
        <v>0</v>
      </c>
      <c r="S38" s="18" t="n">
        <v>7.54172642</v>
      </c>
      <c r="T38" s="20" t="n">
        <v>1.44677341</v>
      </c>
    </row>
    <row r="39" spans="1:20">
      <c r="A39" s="15" t="s">
        <v>381</v>
      </c>
      <c r="B39" s="17" t="n">
        <v>2957</v>
      </c>
      <c r="C39" s="18">
        <f>(2588.0/B39*100)</f>
        <v/>
      </c>
      <c r="D39" s="19" t="n">
        <v>369</v>
      </c>
      <c r="E39" s="18" t="n">
        <v>86.05217841</v>
      </c>
      <c r="F39" s="20" t="n">
        <v>1.86806931</v>
      </c>
      <c r="G39" s="18" t="n">
        <v>2.61878941</v>
      </c>
      <c r="H39" s="20" t="n">
        <v>1.04521186</v>
      </c>
      <c r="I39" s="18" t="n">
        <v>0.89214995</v>
      </c>
      <c r="J39" s="20" t="n">
        <v>0.48285816</v>
      </c>
      <c r="K39" s="18" t="s">
        <v>349</v>
      </c>
      <c r="L39" s="20" t="s">
        <v>349</v>
      </c>
      <c r="M39" s="18" t="n">
        <v>0.59913145</v>
      </c>
      <c r="N39" s="20" t="n">
        <v>0.35435413</v>
      </c>
      <c r="O39" s="18" t="n">
        <v>0</v>
      </c>
      <c r="P39" s="20" t="n">
        <v>0</v>
      </c>
      <c r="Q39" s="18" t="n">
        <v>0</v>
      </c>
      <c r="R39" s="20" t="n">
        <v>0</v>
      </c>
      <c r="S39" s="18" t="n">
        <v>9.83775078</v>
      </c>
      <c r="T39" s="20" t="n">
        <v>1.81085655</v>
      </c>
    </row>
    <row r="40" spans="1:20">
      <c r="A40" s="15" t="s">
        <v>382</v>
      </c>
      <c r="B40" s="17" t="n">
        <v>7235</v>
      </c>
      <c r="C40" s="18">
        <f>(6358.0/B40*100)</f>
        <v/>
      </c>
      <c r="D40" s="19" t="n">
        <v>877</v>
      </c>
      <c r="E40" s="18" t="n">
        <v>76.29940538</v>
      </c>
      <c r="F40" s="20" t="n">
        <v>2.36016039</v>
      </c>
      <c r="G40" s="18" t="n">
        <v>2.43893198</v>
      </c>
      <c r="H40" s="20" t="n">
        <v>0.9528428</v>
      </c>
      <c r="I40" s="18" t="n">
        <v>9.57094886</v>
      </c>
      <c r="J40" s="20" t="n">
        <v>1.5960674</v>
      </c>
      <c r="K40" s="18" t="s">
        <v>349</v>
      </c>
      <c r="L40" s="20" t="s">
        <v>349</v>
      </c>
      <c r="M40" s="18" t="n">
        <v>1.34874313</v>
      </c>
      <c r="N40" s="20" t="n">
        <v>0.6499501</v>
      </c>
      <c r="O40" s="18" t="n">
        <v>0</v>
      </c>
      <c r="P40" s="20" t="n">
        <v>0</v>
      </c>
      <c r="Q40" s="18" t="n">
        <v>0</v>
      </c>
      <c r="R40" s="20" t="n">
        <v>0</v>
      </c>
      <c r="S40" s="18" t="n">
        <v>10.34197065</v>
      </c>
      <c r="T40" s="20" t="n">
        <v>1.83327175</v>
      </c>
    </row>
    <row r="41" spans="1:20">
      <c r="A41" s="15" t="s">
        <v>383</v>
      </c>
      <c r="B41" s="17" t="n">
        <v>2858</v>
      </c>
      <c r="C41" s="18">
        <f>(2523.0/B41*100)</f>
        <v/>
      </c>
      <c r="D41" s="19" t="n">
        <v>335</v>
      </c>
      <c r="E41" s="18" t="n">
        <v>89.21453723</v>
      </c>
      <c r="F41" s="20" t="n">
        <v>1.8731997</v>
      </c>
      <c r="G41" s="18" t="n">
        <v>1.76522542</v>
      </c>
      <c r="H41" s="20" t="n">
        <v>0.95144874</v>
      </c>
      <c r="I41" s="18" t="n">
        <v>5.23765</v>
      </c>
      <c r="J41" s="20" t="n">
        <v>1.33995603</v>
      </c>
      <c r="K41" s="18" t="s">
        <v>349</v>
      </c>
      <c r="L41" s="20" t="s">
        <v>349</v>
      </c>
      <c r="M41" s="18" t="n">
        <v>0.28586772</v>
      </c>
      <c r="N41" s="20" t="n">
        <v>0.2765373</v>
      </c>
      <c r="O41" s="18" t="n">
        <v>0</v>
      </c>
      <c r="P41" s="20" t="n">
        <v>0</v>
      </c>
      <c r="Q41" s="18" t="n">
        <v>0</v>
      </c>
      <c r="R41" s="20" t="n">
        <v>0</v>
      </c>
      <c r="S41" s="18" t="n">
        <v>3.49671962</v>
      </c>
      <c r="T41" s="20" t="n">
        <v>1.05805338</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11068</v>
      </c>
      <c r="C46" s="18">
        <f>(9935.0/B46*100)</f>
        <v/>
      </c>
      <c r="D46" s="19" t="n">
        <v>1133</v>
      </c>
      <c r="E46" s="18" t="n">
        <v>83.31632555</v>
      </c>
      <c r="F46" s="20" t="n">
        <v>1.57266468</v>
      </c>
      <c r="G46" s="18" t="n">
        <v>0.92147237</v>
      </c>
      <c r="H46" s="20" t="n">
        <v>0.34864314</v>
      </c>
      <c r="I46" s="18" t="n">
        <v>0.4490198</v>
      </c>
      <c r="J46" s="20" t="n">
        <v>0.17824109</v>
      </c>
      <c r="K46" s="18" t="s">
        <v>349</v>
      </c>
      <c r="L46" s="20" t="s">
        <v>349</v>
      </c>
      <c r="M46" s="18" t="n">
        <v>1.88608377</v>
      </c>
      <c r="N46" s="20" t="n">
        <v>0.5087671499999999</v>
      </c>
      <c r="O46" s="18" t="n">
        <v>0</v>
      </c>
      <c r="P46" s="20" t="n">
        <v>0</v>
      </c>
      <c r="Q46" s="18" t="n">
        <v>0</v>
      </c>
      <c r="R46" s="20" t="n">
        <v>0</v>
      </c>
      <c r="S46" s="18" t="n">
        <v>13.42709852</v>
      </c>
      <c r="T46" s="20" t="n">
        <v>1.43566637</v>
      </c>
    </row>
    <row r="47" spans="1:20">
      <c r="A47" s="15" t="s">
        <v>389</v>
      </c>
      <c r="B47" s="17" t="n">
        <v>3105</v>
      </c>
      <c r="C47" s="18">
        <f>(2749.0/B47*100)</f>
        <v/>
      </c>
      <c r="D47" s="19" t="n">
        <v>356</v>
      </c>
      <c r="E47" s="18" t="n">
        <v>74.39676596</v>
      </c>
      <c r="F47" s="20" t="n">
        <v>2.77001515</v>
      </c>
      <c r="G47" s="18" t="n">
        <v>2.97227958</v>
      </c>
      <c r="H47" s="20" t="n">
        <v>0.6948075500000001</v>
      </c>
      <c r="I47" s="18" t="n">
        <v>1.85024099</v>
      </c>
      <c r="J47" s="20" t="n">
        <v>0.77042764</v>
      </c>
      <c r="K47" s="18" t="s">
        <v>349</v>
      </c>
      <c r="L47" s="20" t="s">
        <v>349</v>
      </c>
      <c r="M47" s="18" t="n">
        <v>2.44616675</v>
      </c>
      <c r="N47" s="20" t="n">
        <v>0.8354672</v>
      </c>
      <c r="O47" s="18" t="n">
        <v>0</v>
      </c>
      <c r="P47" s="20" t="n">
        <v>0</v>
      </c>
      <c r="Q47" s="18" t="n">
        <v>0</v>
      </c>
      <c r="R47" s="20" t="n">
        <v>0</v>
      </c>
      <c r="S47" s="18" t="n">
        <v>18.33454672</v>
      </c>
      <c r="T47" s="20" t="n">
        <v>2.64394978</v>
      </c>
    </row>
    <row r="48" spans="1:20">
      <c r="A48" s="15" t="s">
        <v>390</v>
      </c>
      <c r="B48" s="17" t="n">
        <v>5159</v>
      </c>
      <c r="C48" s="18">
        <f>(4519.0/B48*100)</f>
        <v/>
      </c>
      <c r="D48" s="19" t="n">
        <v>640</v>
      </c>
      <c r="E48" s="18" t="n">
        <v>74.16659405999999</v>
      </c>
      <c r="F48" s="20" t="n">
        <v>2.38286214</v>
      </c>
      <c r="G48" s="18" t="n">
        <v>5.91672302</v>
      </c>
      <c r="H48" s="20" t="n">
        <v>1.20092056</v>
      </c>
      <c r="I48" s="18" t="n">
        <v>16.058015</v>
      </c>
      <c r="J48" s="20" t="n">
        <v>2.10999642</v>
      </c>
      <c r="K48" s="18" t="s">
        <v>349</v>
      </c>
      <c r="L48" s="20" t="s">
        <v>349</v>
      </c>
      <c r="M48" s="18" t="n">
        <v>1.25310964</v>
      </c>
      <c r="N48" s="20" t="n">
        <v>0.52798609</v>
      </c>
      <c r="O48" s="18" t="n">
        <v>0</v>
      </c>
      <c r="P48" s="20" t="n">
        <v>0</v>
      </c>
      <c r="Q48" s="18" t="n">
        <v>0</v>
      </c>
      <c r="R48" s="20" t="n">
        <v>0</v>
      </c>
      <c r="S48" s="18" t="n">
        <v>2.60555828</v>
      </c>
      <c r="T48" s="20" t="n">
        <v>0.78261805</v>
      </c>
    </row>
    <row r="49" spans="1:20">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5637</v>
      </c>
      <c r="C50" s="18">
        <f>(4958.0/B50*100)</f>
        <v/>
      </c>
      <c r="D50" s="19" t="n">
        <v>679</v>
      </c>
      <c r="E50" s="18" t="n">
        <v>81.75058059</v>
      </c>
      <c r="F50" s="20" t="n">
        <v>2.34755376</v>
      </c>
      <c r="G50" s="18" t="n">
        <v>1.81573316</v>
      </c>
      <c r="H50" s="20" t="n">
        <v>0.59277157</v>
      </c>
      <c r="I50" s="18" t="n">
        <v>0.54422215</v>
      </c>
      <c r="J50" s="20" t="n">
        <v>0.28930132</v>
      </c>
      <c r="K50" s="18" t="s">
        <v>349</v>
      </c>
      <c r="L50" s="20" t="s">
        <v>349</v>
      </c>
      <c r="M50" s="18" t="n">
        <v>3.93611307</v>
      </c>
      <c r="N50" s="20" t="n">
        <v>1.12643287</v>
      </c>
      <c r="O50" s="18" t="n">
        <v>0</v>
      </c>
      <c r="P50" s="20" t="n">
        <v>0</v>
      </c>
      <c r="Q50" s="18" t="n">
        <v>0</v>
      </c>
      <c r="R50" s="20" t="n">
        <v>0</v>
      </c>
      <c r="S50" s="18" t="n">
        <v>11.95335104</v>
      </c>
      <c r="T50" s="20" t="n">
        <v>1.95638199</v>
      </c>
    </row>
    <row r="51" spans="1:20">
      <c r="A51" s="15" t="s">
        <v>393</v>
      </c>
      <c r="B51" s="17" t="n">
        <v>3372</v>
      </c>
      <c r="C51" s="18">
        <f>(3017.0/B51*100)</f>
        <v/>
      </c>
      <c r="D51" s="19" t="n">
        <v>355</v>
      </c>
      <c r="E51" s="18" t="n">
        <v>86.84350096</v>
      </c>
      <c r="F51" s="20" t="n">
        <v>2.02444227</v>
      </c>
      <c r="G51" s="18" t="n">
        <v>1.22814792</v>
      </c>
      <c r="H51" s="20" t="n">
        <v>0.88915051</v>
      </c>
      <c r="I51" s="18" t="n">
        <v>0.35899891</v>
      </c>
      <c r="J51" s="20" t="n">
        <v>0.32555743</v>
      </c>
      <c r="K51" s="18" t="s">
        <v>349</v>
      </c>
      <c r="L51" s="20" t="s">
        <v>349</v>
      </c>
      <c r="M51" s="18" t="n">
        <v>0.89964909</v>
      </c>
      <c r="N51" s="20" t="n">
        <v>0.53657514</v>
      </c>
      <c r="O51" s="18" t="n">
        <v>0</v>
      </c>
      <c r="P51" s="20" t="n">
        <v>0</v>
      </c>
      <c r="Q51" s="18" t="n">
        <v>0</v>
      </c>
      <c r="R51" s="20" t="n">
        <v>0</v>
      </c>
      <c r="S51" s="18" t="n">
        <v>10.66970312</v>
      </c>
      <c r="T51" s="20" t="n">
        <v>1.80638891</v>
      </c>
    </row>
    <row r="52" spans="1:20">
      <c r="A52" s="15" t="s">
        <v>394</v>
      </c>
      <c r="B52" s="17" t="n">
        <v>2796</v>
      </c>
      <c r="C52" s="18">
        <f>(2456.0/B52*100)</f>
        <v/>
      </c>
      <c r="D52" s="19" t="n">
        <v>340</v>
      </c>
      <c r="E52" s="18" t="n">
        <v>78.57077855999999</v>
      </c>
      <c r="F52" s="20" t="n">
        <v>2.0719936</v>
      </c>
      <c r="G52" s="18" t="n">
        <v>4.24717646</v>
      </c>
      <c r="H52" s="20" t="n">
        <v>1.25113472</v>
      </c>
      <c r="I52" s="18" t="n">
        <v>2.49637809</v>
      </c>
      <c r="J52" s="20" t="n">
        <v>0.88636199</v>
      </c>
      <c r="K52" s="18" t="s">
        <v>349</v>
      </c>
      <c r="L52" s="20" t="s">
        <v>349</v>
      </c>
      <c r="M52" s="18" t="n">
        <v>1.70252505</v>
      </c>
      <c r="N52" s="20" t="n">
        <v>0.70995755</v>
      </c>
      <c r="O52" s="18" t="n">
        <v>0</v>
      </c>
      <c r="P52" s="20" t="n">
        <v>0</v>
      </c>
      <c r="Q52" s="18" t="n">
        <v>0</v>
      </c>
      <c r="R52" s="20" t="n">
        <v>0</v>
      </c>
      <c r="S52" s="18" t="n">
        <v>12.98314185</v>
      </c>
      <c r="T52" s="20" t="n">
        <v>1.5125424</v>
      </c>
    </row>
    <row r="53" spans="1:20">
      <c r="A53" s="15" t="s">
        <v>395</v>
      </c>
      <c r="B53" s="17" t="n">
        <v>2811</v>
      </c>
      <c r="C53" s="18">
        <f>(2470.0/B53*100)</f>
        <v/>
      </c>
      <c r="D53" s="19" t="n">
        <v>341</v>
      </c>
      <c r="E53" s="18" t="n">
        <v>76.41617087</v>
      </c>
      <c r="F53" s="20" t="n">
        <v>2.53842919</v>
      </c>
      <c r="G53" s="18" t="n">
        <v>2.97383869</v>
      </c>
      <c r="H53" s="20" t="n">
        <v>1.06251076</v>
      </c>
      <c r="I53" s="18" t="n">
        <v>4.32226991</v>
      </c>
      <c r="J53" s="20" t="n">
        <v>1.28322502</v>
      </c>
      <c r="K53" s="18" t="s">
        <v>349</v>
      </c>
      <c r="L53" s="20" t="s">
        <v>349</v>
      </c>
      <c r="M53" s="18" t="n">
        <v>2.25815717</v>
      </c>
      <c r="N53" s="20" t="n">
        <v>0.82783945</v>
      </c>
      <c r="O53" s="18" t="n">
        <v>0</v>
      </c>
      <c r="P53" s="20" t="n">
        <v>0</v>
      </c>
      <c r="Q53" s="18" t="n">
        <v>0</v>
      </c>
      <c r="R53" s="20" t="n">
        <v>0</v>
      </c>
      <c r="S53" s="18" t="n">
        <v>14.02956336</v>
      </c>
      <c r="T53" s="20" t="n">
        <v>2.04819234</v>
      </c>
    </row>
    <row r="54" spans="1:20">
      <c r="A54" s="15" t="s">
        <v>396</v>
      </c>
      <c r="B54" s="17" t="n">
        <v>2266</v>
      </c>
      <c r="C54" s="18">
        <f>(1929.0/B54*100)</f>
        <v/>
      </c>
      <c r="D54" s="19" t="n">
        <v>337</v>
      </c>
      <c r="E54" s="18" t="n">
        <v>72.50524306</v>
      </c>
      <c r="F54" s="20" t="n">
        <v>2.7312705</v>
      </c>
      <c r="G54" s="18" t="n">
        <v>0.21074453</v>
      </c>
      <c r="H54" s="20" t="n">
        <v>0.20239306</v>
      </c>
      <c r="I54" s="18" t="n">
        <v>0</v>
      </c>
      <c r="J54" s="20" t="n">
        <v>0</v>
      </c>
      <c r="K54" s="18" t="s">
        <v>349</v>
      </c>
      <c r="L54" s="20" t="s">
        <v>349</v>
      </c>
      <c r="M54" s="18" t="n">
        <v>12.65464685</v>
      </c>
      <c r="N54" s="20" t="n">
        <v>2.13259398</v>
      </c>
      <c r="O54" s="18" t="n">
        <v>0</v>
      </c>
      <c r="P54" s="20" t="n">
        <v>0</v>
      </c>
      <c r="Q54" s="18" t="n">
        <v>0</v>
      </c>
      <c r="R54" s="20" t="n">
        <v>0</v>
      </c>
      <c r="S54" s="18" t="n">
        <v>14.62936557</v>
      </c>
      <c r="T54" s="20" t="n">
        <v>2.21614732</v>
      </c>
    </row>
    <row r="55" spans="1:20">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2684</v>
      </c>
      <c r="C56" s="18">
        <f>(2350.0/B56*100)</f>
        <v/>
      </c>
      <c r="D56" s="19" t="n">
        <v>334</v>
      </c>
      <c r="E56" s="18" t="n">
        <v>68.32559087999999</v>
      </c>
      <c r="F56" s="20" t="n">
        <v>3.09513775</v>
      </c>
      <c r="G56" s="18" t="n">
        <v>3.47937892</v>
      </c>
      <c r="H56" s="20" t="n">
        <v>1.05270691</v>
      </c>
      <c r="I56" s="18" t="n">
        <v>25.37363199</v>
      </c>
      <c r="J56" s="20" t="n">
        <v>2.8219919</v>
      </c>
      <c r="K56" s="18" t="s">
        <v>349</v>
      </c>
      <c r="L56" s="20" t="s">
        <v>349</v>
      </c>
      <c r="M56" s="18" t="n">
        <v>0.37699708</v>
      </c>
      <c r="N56" s="20" t="n">
        <v>0.26679991</v>
      </c>
      <c r="O56" s="18" t="n">
        <v>0</v>
      </c>
      <c r="P56" s="20" t="n">
        <v>0</v>
      </c>
      <c r="Q56" s="18" t="n">
        <v>0</v>
      </c>
      <c r="R56" s="20" t="n">
        <v>0</v>
      </c>
      <c r="S56" s="18" t="n">
        <v>2.44440113</v>
      </c>
      <c r="T56" s="20" t="n">
        <v>0.88065729</v>
      </c>
    </row>
    <row r="57" spans="1:20">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3324</v>
      </c>
      <c r="C61" s="18">
        <f>(2907.0/B61*100)</f>
        <v/>
      </c>
      <c r="D61" s="19" t="n">
        <v>417</v>
      </c>
      <c r="E61" s="18" t="n">
        <v>82.14668593</v>
      </c>
      <c r="F61" s="20" t="n">
        <v>1.81504959</v>
      </c>
      <c r="G61" s="18" t="n">
        <v>0.7008988</v>
      </c>
      <c r="H61" s="20" t="n">
        <v>0.41921821</v>
      </c>
      <c r="I61" s="18" t="n">
        <v>4.31932257</v>
      </c>
      <c r="J61" s="20" t="n">
        <v>1.09360328</v>
      </c>
      <c r="K61" s="18" t="s">
        <v>349</v>
      </c>
      <c r="L61" s="20" t="s">
        <v>349</v>
      </c>
      <c r="M61" s="18" t="n">
        <v>0.54269405</v>
      </c>
      <c r="N61" s="20" t="n">
        <v>0.40981116</v>
      </c>
      <c r="O61" s="18" t="n">
        <v>0</v>
      </c>
      <c r="P61" s="20" t="n">
        <v>0</v>
      </c>
      <c r="Q61" s="18" t="n">
        <v>0</v>
      </c>
      <c r="R61" s="20" t="n">
        <v>0</v>
      </c>
      <c r="S61" s="18" t="n">
        <v>12.29039865</v>
      </c>
      <c r="T61" s="20" t="n">
        <v>1.52266219</v>
      </c>
    </row>
    <row r="62" spans="1:20">
      <c r="A62" s="15" t="s">
        <v>404</v>
      </c>
      <c r="B62" s="17" t="n">
        <v>2246</v>
      </c>
      <c r="C62" s="18">
        <f>(1952.0/B62*100)</f>
        <v/>
      </c>
      <c r="D62" s="19" t="n">
        <v>294</v>
      </c>
      <c r="E62" s="18" t="n">
        <v>76.49017949</v>
      </c>
      <c r="F62" s="20" t="n">
        <v>2.3438367</v>
      </c>
      <c r="G62" s="18" t="n">
        <v>5.7778675</v>
      </c>
      <c r="H62" s="20" t="n">
        <v>1.23316942</v>
      </c>
      <c r="I62" s="18" t="n">
        <v>13.98978855</v>
      </c>
      <c r="J62" s="20" t="n">
        <v>1.99417044</v>
      </c>
      <c r="K62" s="18" t="s">
        <v>349</v>
      </c>
      <c r="L62" s="20" t="s">
        <v>349</v>
      </c>
      <c r="M62" s="18" t="n">
        <v>0</v>
      </c>
      <c r="N62" s="20" t="n">
        <v>0</v>
      </c>
      <c r="O62" s="18" t="n">
        <v>0</v>
      </c>
      <c r="P62" s="20" t="n">
        <v>0</v>
      </c>
      <c r="Q62" s="18" t="n">
        <v>0</v>
      </c>
      <c r="R62" s="20" t="n">
        <v>0</v>
      </c>
      <c r="S62" s="18" t="n">
        <v>3.74216446</v>
      </c>
      <c r="T62" s="20" t="n">
        <v>1.09765329</v>
      </c>
    </row>
    <row r="63" spans="1:20">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2894</v>
      </c>
      <c r="C66" s="18">
        <f>(2544.0/B66*100)</f>
        <v/>
      </c>
      <c r="D66" s="19" t="n">
        <v>350</v>
      </c>
      <c r="E66" s="18" t="n">
        <v>63.69163436</v>
      </c>
      <c r="F66" s="20" t="n">
        <v>2.29300905</v>
      </c>
      <c r="G66" s="18" t="n">
        <v>2.74680228</v>
      </c>
      <c r="H66" s="20" t="n">
        <v>0.8393495399999999</v>
      </c>
      <c r="I66" s="18" t="n">
        <v>1.34102061</v>
      </c>
      <c r="J66" s="20" t="n">
        <v>0.6804896499999999</v>
      </c>
      <c r="K66" s="18" t="s">
        <v>349</v>
      </c>
      <c r="L66" s="20" t="s">
        <v>349</v>
      </c>
      <c r="M66" s="18" t="n">
        <v>2.4508733</v>
      </c>
      <c r="N66" s="20" t="n">
        <v>0.72935742</v>
      </c>
      <c r="O66" s="18" t="n">
        <v>0</v>
      </c>
      <c r="P66" s="20" t="n">
        <v>0</v>
      </c>
      <c r="Q66" s="18" t="n">
        <v>0</v>
      </c>
      <c r="R66" s="20" t="n">
        <v>0</v>
      </c>
      <c r="S66" s="18" t="n">
        <v>29.76966945</v>
      </c>
      <c r="T66" s="20" t="n">
        <v>2.15743722</v>
      </c>
    </row>
    <row r="67" spans="1:20">
      <c r="A67" s="15" t="s">
        <v>409</v>
      </c>
      <c r="B67" s="17" t="n">
        <v>3511</v>
      </c>
      <c r="C67" s="18">
        <f>(3133.0/B67*100)</f>
        <v/>
      </c>
      <c r="D67" s="19" t="n">
        <v>378</v>
      </c>
      <c r="E67" s="18" t="n">
        <v>78.38570464999999</v>
      </c>
      <c r="F67" s="20" t="n">
        <v>1.97711121</v>
      </c>
      <c r="G67" s="18" t="n">
        <v>0.63026575</v>
      </c>
      <c r="H67" s="20" t="n">
        <v>0.36401074</v>
      </c>
      <c r="I67" s="18" t="n">
        <v>0.96198687</v>
      </c>
      <c r="J67" s="20" t="n">
        <v>0.59121334</v>
      </c>
      <c r="K67" s="18" t="s">
        <v>349</v>
      </c>
      <c r="L67" s="20" t="s">
        <v>349</v>
      </c>
      <c r="M67" s="18" t="n">
        <v>0.74778593</v>
      </c>
      <c r="N67" s="20" t="n">
        <v>0.46536702</v>
      </c>
      <c r="O67" s="18" t="n">
        <v>0</v>
      </c>
      <c r="P67" s="20" t="n">
        <v>0</v>
      </c>
      <c r="Q67" s="18" t="n">
        <v>0</v>
      </c>
      <c r="R67" s="20" t="n">
        <v>0</v>
      </c>
      <c r="S67" s="18" t="n">
        <v>19.27425679</v>
      </c>
      <c r="T67" s="20" t="n">
        <v>1.88345647</v>
      </c>
    </row>
    <row r="68" spans="1:20">
      <c r="A68" s="15" t="s">
        <v>410</v>
      </c>
      <c r="B68" s="17" t="n">
        <v>6049</v>
      </c>
      <c r="C68" s="18">
        <f>(5050.0/B68*100)</f>
        <v/>
      </c>
      <c r="D68" s="19" t="n">
        <v>999</v>
      </c>
      <c r="E68" s="18" t="n">
        <v>79.39500829000001</v>
      </c>
      <c r="F68" s="20" t="n">
        <v>1.23959992</v>
      </c>
      <c r="G68" s="18" t="n">
        <v>2.08799538</v>
      </c>
      <c r="H68" s="20" t="n">
        <v>0.55423386</v>
      </c>
      <c r="I68" s="18" t="n">
        <v>2.65853139</v>
      </c>
      <c r="J68" s="20" t="n">
        <v>0.50781106</v>
      </c>
      <c r="K68" s="18" t="s">
        <v>349</v>
      </c>
      <c r="L68" s="20" t="s">
        <v>349</v>
      </c>
      <c r="M68" s="18" t="n">
        <v>4.76077838</v>
      </c>
      <c r="N68" s="20" t="n">
        <v>0.68769169</v>
      </c>
      <c r="O68" s="18" t="n">
        <v>0</v>
      </c>
      <c r="P68" s="20" t="n">
        <v>0</v>
      </c>
      <c r="Q68" s="18" t="n">
        <v>0</v>
      </c>
      <c r="R68" s="20" t="n">
        <v>0</v>
      </c>
      <c r="S68" s="18" t="n">
        <v>11.09768657</v>
      </c>
      <c r="T68" s="20" t="n">
        <v>0.94883465</v>
      </c>
    </row>
    <row r="69" spans="1:20">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2929</v>
      </c>
      <c r="C70" s="18">
        <f>(2549.0/B70*100)</f>
        <v/>
      </c>
      <c r="D70" s="19" t="n">
        <v>380</v>
      </c>
      <c r="E70" s="18" t="n">
        <v>82.73432482</v>
      </c>
      <c r="F70" s="20" t="n">
        <v>2.13205257</v>
      </c>
      <c r="G70" s="18" t="n">
        <v>4.88594731</v>
      </c>
      <c r="H70" s="20" t="n">
        <v>1.154535</v>
      </c>
      <c r="I70" s="18" t="n">
        <v>3.93113625</v>
      </c>
      <c r="J70" s="20" t="n">
        <v>1.12469763</v>
      </c>
      <c r="K70" s="18" t="s">
        <v>349</v>
      </c>
      <c r="L70" s="20" t="s">
        <v>349</v>
      </c>
      <c r="M70" s="18" t="n">
        <v>0</v>
      </c>
      <c r="N70" s="20" t="n">
        <v>0</v>
      </c>
      <c r="O70" s="18" t="n">
        <v>0</v>
      </c>
      <c r="P70" s="20" t="n">
        <v>0</v>
      </c>
      <c r="Q70" s="18" t="n">
        <v>0</v>
      </c>
      <c r="R70" s="20" t="n">
        <v>0</v>
      </c>
      <c r="S70" s="18" t="n">
        <v>8.44859162</v>
      </c>
      <c r="T70" s="20" t="n">
        <v>1.68256927</v>
      </c>
    </row>
    <row r="71" spans="1:20">
      <c r="A71" s="15" t="s">
        <v>413</v>
      </c>
      <c r="B71" s="17" t="n">
        <v>3142</v>
      </c>
      <c r="C71" s="18">
        <f>(2754.0/B71*100)</f>
        <v/>
      </c>
      <c r="D71" s="19" t="n">
        <v>388</v>
      </c>
      <c r="E71" s="18" t="n">
        <v>61.74527091</v>
      </c>
      <c r="F71" s="20" t="n">
        <v>2.55104535</v>
      </c>
      <c r="G71" s="18" t="n">
        <v>2.88007347</v>
      </c>
      <c r="H71" s="20" t="n">
        <v>0.86955449</v>
      </c>
      <c r="I71" s="18" t="n">
        <v>32.53493504</v>
      </c>
      <c r="J71" s="20" t="n">
        <v>2.48963407</v>
      </c>
      <c r="K71" s="18" t="s">
        <v>349</v>
      </c>
      <c r="L71" s="20" t="s">
        <v>349</v>
      </c>
      <c r="M71" s="18" t="n">
        <v>0.15207417</v>
      </c>
      <c r="N71" s="20" t="n">
        <v>0.15462322</v>
      </c>
      <c r="O71" s="18" t="n">
        <v>0</v>
      </c>
      <c r="P71" s="20" t="n">
        <v>0</v>
      </c>
      <c r="Q71" s="18" t="n">
        <v>0</v>
      </c>
      <c r="R71" s="20" t="n">
        <v>0</v>
      </c>
      <c r="S71" s="18" t="n">
        <v>2.68764641</v>
      </c>
      <c r="T71" s="20" t="n">
        <v>0.79781481</v>
      </c>
    </row>
    <row r="72" spans="1:20">
      <c r="A72" s="15" t="s">
        <v>414</v>
      </c>
      <c r="B72" s="17" t="n">
        <v>3889</v>
      </c>
      <c r="C72" s="18">
        <f>(3421.0/B72*100)</f>
        <v/>
      </c>
      <c r="D72" s="19" t="n">
        <v>468</v>
      </c>
      <c r="E72" s="18" t="n">
        <v>63.69988239</v>
      </c>
      <c r="F72" s="20" t="n">
        <v>2.45874864</v>
      </c>
      <c r="G72" s="18" t="n">
        <v>8.30003381</v>
      </c>
      <c r="H72" s="20" t="n">
        <v>1.34758534</v>
      </c>
      <c r="I72" s="18" t="n">
        <v>20.38661092</v>
      </c>
      <c r="J72" s="20" t="n">
        <v>2.22472008</v>
      </c>
      <c r="K72" s="18" t="s">
        <v>349</v>
      </c>
      <c r="L72" s="20" t="s">
        <v>349</v>
      </c>
      <c r="M72" s="18" t="n">
        <v>0.39228614</v>
      </c>
      <c r="N72" s="20" t="n">
        <v>0.30612981</v>
      </c>
      <c r="O72" s="18" t="n">
        <v>0</v>
      </c>
      <c r="P72" s="20" t="n">
        <v>0</v>
      </c>
      <c r="Q72" s="18" t="n">
        <v>0</v>
      </c>
      <c r="R72" s="20" t="n">
        <v>0</v>
      </c>
      <c r="S72" s="18" t="n">
        <v>7.22118674</v>
      </c>
      <c r="T72" s="20" t="n">
        <v>1.37022061</v>
      </c>
    </row>
    <row r="73" spans="1:20">
      <c r="A73" s="15" t="s">
        <v>415</v>
      </c>
      <c r="B73" s="17" t="n">
        <v>3597</v>
      </c>
      <c r="C73" s="18">
        <f>(3181.0/B73*100)</f>
        <v/>
      </c>
      <c r="D73" s="19" t="n">
        <v>416</v>
      </c>
      <c r="E73" s="18" t="n">
        <v>88.63037396999999</v>
      </c>
      <c r="F73" s="20" t="n">
        <v>1.71287468</v>
      </c>
      <c r="G73" s="18" t="n">
        <v>3.34012287</v>
      </c>
      <c r="H73" s="20" t="n">
        <v>0.86790419</v>
      </c>
      <c r="I73" s="18" t="n">
        <v>4.54745883</v>
      </c>
      <c r="J73" s="20" t="n">
        <v>1.1846749</v>
      </c>
      <c r="K73" s="18" t="s">
        <v>349</v>
      </c>
      <c r="L73" s="20" t="s">
        <v>349</v>
      </c>
      <c r="M73" s="18" t="n">
        <v>0</v>
      </c>
      <c r="N73" s="20" t="n">
        <v>0</v>
      </c>
      <c r="O73" s="18" t="n">
        <v>0</v>
      </c>
      <c r="P73" s="20" t="n">
        <v>0</v>
      </c>
      <c r="Q73" s="18" t="n">
        <v>0</v>
      </c>
      <c r="R73" s="20" t="n">
        <v>0</v>
      </c>
      <c r="S73" s="18" t="n">
        <v>3.48204432</v>
      </c>
      <c r="T73" s="20" t="n">
        <v>1.01536535</v>
      </c>
    </row>
    <row r="74" spans="1:20">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2406</v>
      </c>
      <c r="C75" s="18">
        <f>(2146.0/B75*100)</f>
        <v/>
      </c>
      <c r="D75" s="19" t="n">
        <v>260</v>
      </c>
      <c r="E75" s="18" t="n">
        <v>76.71025639</v>
      </c>
      <c r="F75" s="20" t="n">
        <v>2.90495985</v>
      </c>
      <c r="G75" s="18" t="n">
        <v>3.5186636</v>
      </c>
      <c r="H75" s="20" t="n">
        <v>1.4285941</v>
      </c>
      <c r="I75" s="18" t="n">
        <v>0</v>
      </c>
      <c r="J75" s="20" t="n">
        <v>0</v>
      </c>
      <c r="K75" s="18" t="s">
        <v>349</v>
      </c>
      <c r="L75" s="20" t="s">
        <v>349</v>
      </c>
      <c r="M75" s="18" t="n">
        <v>5.25923677</v>
      </c>
      <c r="N75" s="20" t="n">
        <v>1.39031406</v>
      </c>
      <c r="O75" s="18" t="n">
        <v>0</v>
      </c>
      <c r="P75" s="20" t="n">
        <v>0</v>
      </c>
      <c r="Q75" s="18" t="n">
        <v>0</v>
      </c>
      <c r="R75" s="20" t="n">
        <v>0</v>
      </c>
      <c r="S75" s="18" t="n">
        <v>14.51184323</v>
      </c>
      <c r="T75" s="20" t="n">
        <v>2.18126908</v>
      </c>
    </row>
    <row r="76" spans="1:20">
      <c r="A76" s="15" t="s">
        <v>418</v>
      </c>
      <c r="B76" s="17" t="n">
        <v>7052</v>
      </c>
      <c r="C76" s="18">
        <f>(6188.0/B76*100)</f>
        <v/>
      </c>
      <c r="D76" s="19" t="n">
        <v>864</v>
      </c>
      <c r="E76" s="18" t="n">
        <v>84.06392468999999</v>
      </c>
      <c r="F76" s="20" t="n">
        <v>1.14843658</v>
      </c>
      <c r="G76" s="18" t="n">
        <v>1.77103972</v>
      </c>
      <c r="H76" s="20" t="n">
        <v>0.50702781</v>
      </c>
      <c r="I76" s="18" t="n">
        <v>5.07089502</v>
      </c>
      <c r="J76" s="20" t="n">
        <v>0.63479297</v>
      </c>
      <c r="K76" s="18" t="s">
        <v>349</v>
      </c>
      <c r="L76" s="20" t="s">
        <v>349</v>
      </c>
      <c r="M76" s="18" t="n">
        <v>1.4961522</v>
      </c>
      <c r="N76" s="20" t="n">
        <v>0.53686353</v>
      </c>
      <c r="O76" s="18" t="n">
        <v>0</v>
      </c>
      <c r="P76" s="20" t="n">
        <v>0</v>
      </c>
      <c r="Q76" s="18" t="n">
        <v>0</v>
      </c>
      <c r="R76" s="20" t="n">
        <v>0</v>
      </c>
      <c r="S76" s="18" t="n">
        <v>7.59798836</v>
      </c>
      <c r="T76" s="20" t="n">
        <v>0.98413737</v>
      </c>
    </row>
    <row r="77" spans="1:20">
      <c r="A77" s="15" t="s">
        <v>419</v>
      </c>
      <c r="B77" s="17" t="n">
        <v>2908</v>
      </c>
      <c r="C77" s="18">
        <f>(2554.0/B77*100)</f>
        <v/>
      </c>
      <c r="D77" s="19" t="n">
        <v>354</v>
      </c>
      <c r="E77" s="18" t="n">
        <v>73.12697623</v>
      </c>
      <c r="F77" s="20" t="n">
        <v>2.63478791</v>
      </c>
      <c r="G77" s="18" t="n">
        <v>5.13830465</v>
      </c>
      <c r="H77" s="20" t="n">
        <v>1.18697401</v>
      </c>
      <c r="I77" s="18" t="n">
        <v>0</v>
      </c>
      <c r="J77" s="20" t="n">
        <v>0</v>
      </c>
      <c r="K77" s="18" t="s">
        <v>349</v>
      </c>
      <c r="L77" s="20" t="s">
        <v>349</v>
      </c>
      <c r="M77" s="18" t="n">
        <v>3.74043976</v>
      </c>
      <c r="N77" s="20" t="n">
        <v>1.16981852</v>
      </c>
      <c r="O77" s="18" t="n">
        <v>0</v>
      </c>
      <c r="P77" s="20" t="n">
        <v>0</v>
      </c>
      <c r="Q77" s="18" t="n">
        <v>0</v>
      </c>
      <c r="R77" s="20" t="n">
        <v>0</v>
      </c>
      <c r="S77" s="18" t="n">
        <v>17.99427936</v>
      </c>
      <c r="T77" s="20" t="n">
        <v>2.263925</v>
      </c>
    </row>
    <row r="78" spans="1:20">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4163</v>
      </c>
      <c r="C81" s="18">
        <f>(3659.0/B81*100)</f>
        <v/>
      </c>
      <c r="D81" s="19" t="n">
        <v>504</v>
      </c>
      <c r="E81" s="18" t="n">
        <v>91.13952435</v>
      </c>
      <c r="F81" s="20" t="n">
        <v>1.62253463</v>
      </c>
      <c r="G81" s="18" t="n">
        <v>1.74585784</v>
      </c>
      <c r="H81" s="20" t="n">
        <v>0.73082697</v>
      </c>
      <c r="I81" s="18" t="n">
        <v>3.60613479</v>
      </c>
      <c r="J81" s="20" t="n">
        <v>0.96276938</v>
      </c>
      <c r="K81" s="18" t="s">
        <v>349</v>
      </c>
      <c r="L81" s="20" t="s">
        <v>349</v>
      </c>
      <c r="M81" s="18" t="n">
        <v>0</v>
      </c>
      <c r="N81" s="20" t="n">
        <v>0</v>
      </c>
      <c r="O81" s="18" t="n">
        <v>0</v>
      </c>
      <c r="P81" s="20" t="n">
        <v>0</v>
      </c>
      <c r="Q81" s="18" t="n">
        <v>0</v>
      </c>
      <c r="R81" s="20" t="n">
        <v>0</v>
      </c>
      <c r="S81" s="18" t="n">
        <v>3.50848302</v>
      </c>
      <c r="T81" s="20" t="n">
        <v>1.09594117</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(6436.0/B7*100)</f>
        <v/>
      </c>
      <c r="D7" s="19" t="n">
        <v>931</v>
      </c>
      <c r="E7" s="18" t="n">
        <v>23.15730498</v>
      </c>
      <c r="F7" s="20" t="n">
        <v>1.6931602</v>
      </c>
      <c r="G7" s="18" t="n">
        <v>73.13310494</v>
      </c>
      <c r="H7" s="20" t="n">
        <v>1.84152008</v>
      </c>
      <c r="I7" s="18" t="s">
        <v>349</v>
      </c>
      <c r="J7" s="20" t="s">
        <v>349</v>
      </c>
      <c r="K7" s="18" t="n">
        <v>1.42157425</v>
      </c>
      <c r="L7" s="20" t="n">
        <v>0.4879278</v>
      </c>
      <c r="M7" s="18" t="n">
        <v>0.42255726</v>
      </c>
      <c r="N7" s="20" t="n">
        <v>0.25706679</v>
      </c>
      <c r="O7" s="18" t="n">
        <v>0</v>
      </c>
      <c r="P7" s="20" t="n">
        <v>0</v>
      </c>
      <c r="Q7" s="18" t="n">
        <v>1.86545857</v>
      </c>
      <c r="R7" s="20" t="n">
        <v>0.45980225</v>
      </c>
    </row>
    <row r="8" spans="1:18">
      <c r="A8" s="15" t="s">
        <v>350</v>
      </c>
      <c r="B8" s="17" t="n">
        <v>3564</v>
      </c>
      <c r="C8" s="18">
        <f>(3129.0/B8*100)</f>
        <v/>
      </c>
      <c r="D8" s="19" t="n">
        <v>435</v>
      </c>
      <c r="E8" s="18" t="n">
        <v>28.32738756</v>
      </c>
      <c r="F8" s="20" t="n">
        <v>2.98350236</v>
      </c>
      <c r="G8" s="18" t="n">
        <v>67.44812463</v>
      </c>
      <c r="H8" s="20" t="n">
        <v>3.13138902</v>
      </c>
      <c r="I8" s="18" t="s">
        <v>349</v>
      </c>
      <c r="J8" s="20" t="s">
        <v>349</v>
      </c>
      <c r="K8" s="18" t="n">
        <v>1.72535173</v>
      </c>
      <c r="L8" s="20" t="n">
        <v>0.95234436</v>
      </c>
      <c r="M8" s="18" t="n">
        <v>0</v>
      </c>
      <c r="N8" s="20" t="n">
        <v>0</v>
      </c>
      <c r="O8" s="18" t="n">
        <v>0</v>
      </c>
      <c r="P8" s="20" t="n">
        <v>0</v>
      </c>
      <c r="Q8" s="18" t="n">
        <v>2.49913609</v>
      </c>
      <c r="R8" s="20" t="n">
        <v>0.78735932</v>
      </c>
    </row>
    <row r="9" spans="1:18">
      <c r="A9" s="15" t="s">
        <v>351</v>
      </c>
      <c r="B9" s="17" t="n">
        <v>4899</v>
      </c>
      <c r="C9" s="18">
        <f>(4343.0/B9*100)</f>
        <v/>
      </c>
      <c r="D9" s="19" t="n">
        <v>556</v>
      </c>
      <c r="E9" s="18" t="n">
        <v>16.31739892</v>
      </c>
      <c r="F9" s="20" t="n">
        <v>1.73791531</v>
      </c>
      <c r="G9" s="18" t="n">
        <v>80.91794188</v>
      </c>
      <c r="H9" s="20" t="n">
        <v>1.87510952</v>
      </c>
      <c r="I9" s="18" t="s">
        <v>349</v>
      </c>
      <c r="J9" s="20" t="s">
        <v>349</v>
      </c>
      <c r="K9" s="18" t="n">
        <v>0.90356844</v>
      </c>
      <c r="L9" s="20" t="n">
        <v>0.42596085</v>
      </c>
      <c r="M9" s="18" t="n">
        <v>0.46369307</v>
      </c>
      <c r="N9" s="20" t="n">
        <v>0.27556887</v>
      </c>
      <c r="O9" s="18" t="n">
        <v>0</v>
      </c>
      <c r="P9" s="20" t="n">
        <v>0</v>
      </c>
      <c r="Q9" s="18" t="n">
        <v>1.3973977</v>
      </c>
      <c r="R9" s="20" t="n">
        <v>0.41706913</v>
      </c>
    </row>
    <row r="10" spans="1:18">
      <c r="A10" s="15" t="s">
        <v>352</v>
      </c>
      <c r="B10" s="17" t="n">
        <v>10036</v>
      </c>
      <c r="C10" s="18">
        <f>(8818.0/B10*100)</f>
        <v/>
      </c>
      <c r="D10" s="19" t="n">
        <v>1218</v>
      </c>
      <c r="E10" s="18" t="n">
        <v>12.62264222</v>
      </c>
      <c r="F10" s="20" t="n">
        <v>1.14717773</v>
      </c>
      <c r="G10" s="18" t="n">
        <v>85.23780096</v>
      </c>
      <c r="H10" s="20" t="n">
        <v>1.11258484</v>
      </c>
      <c r="I10" s="18" t="s">
        <v>349</v>
      </c>
      <c r="J10" s="20" t="s">
        <v>349</v>
      </c>
      <c r="K10" s="18" t="n">
        <v>1.38430395</v>
      </c>
      <c r="L10" s="20" t="n">
        <v>0.55285789</v>
      </c>
      <c r="M10" s="18" t="n">
        <v>0.16664235</v>
      </c>
      <c r="N10" s="20" t="n">
        <v>0.11662795</v>
      </c>
      <c r="O10" s="18" t="n">
        <v>0</v>
      </c>
      <c r="P10" s="20" t="n">
        <v>0</v>
      </c>
      <c r="Q10" s="18" t="n">
        <v>0.58861052</v>
      </c>
      <c r="R10" s="20" t="n">
        <v>0.22893975</v>
      </c>
    </row>
    <row r="11" spans="1:18">
      <c r="A11" s="15" t="s">
        <v>353</v>
      </c>
      <c r="B11" s="17" t="n">
        <v>3553</v>
      </c>
      <c r="C11" s="18">
        <f>(3147.0/B11*100)</f>
        <v/>
      </c>
      <c r="D11" s="19" t="n">
        <v>406</v>
      </c>
      <c r="E11" s="18" t="n">
        <v>36.466086</v>
      </c>
      <c r="F11" s="20" t="n">
        <v>2.73592012</v>
      </c>
      <c r="G11" s="18" t="n">
        <v>55.93595426</v>
      </c>
      <c r="H11" s="20" t="n">
        <v>2.58982884</v>
      </c>
      <c r="I11" s="18" t="s">
        <v>349</v>
      </c>
      <c r="J11" s="20" t="s">
        <v>349</v>
      </c>
      <c r="K11" s="18" t="n">
        <v>3.63472339</v>
      </c>
      <c r="L11" s="20" t="n">
        <v>1.00125852</v>
      </c>
      <c r="M11" s="18" t="n">
        <v>0</v>
      </c>
      <c r="N11" s="20" t="n">
        <v>0</v>
      </c>
      <c r="O11" s="18" t="n">
        <v>0</v>
      </c>
      <c r="P11" s="20" t="n">
        <v>0</v>
      </c>
      <c r="Q11" s="18" t="n">
        <v>3.96323634</v>
      </c>
      <c r="R11" s="20" t="n">
        <v>1.16269778</v>
      </c>
    </row>
    <row r="12" spans="1:18">
      <c r="A12" s="15" t="s">
        <v>354</v>
      </c>
      <c r="B12" s="17" t="n">
        <v>3472</v>
      </c>
      <c r="C12" s="18">
        <f>(3052.0/B12*100)</f>
        <v/>
      </c>
      <c r="D12" s="19" t="n">
        <v>420</v>
      </c>
      <c r="E12" s="18" t="n">
        <v>28.76684995</v>
      </c>
      <c r="F12" s="20" t="n">
        <v>2.80074908</v>
      </c>
      <c r="G12" s="18" t="n">
        <v>66.02053243</v>
      </c>
      <c r="H12" s="20" t="n">
        <v>2.89101906</v>
      </c>
      <c r="I12" s="18" t="s">
        <v>349</v>
      </c>
      <c r="J12" s="20" t="s">
        <v>349</v>
      </c>
      <c r="K12" s="18" t="n">
        <v>1.07053744</v>
      </c>
      <c r="L12" s="20" t="n">
        <v>0.52831536</v>
      </c>
      <c r="M12" s="18" t="n">
        <v>0.10565</v>
      </c>
      <c r="N12" s="20" t="n">
        <v>0.10832818</v>
      </c>
      <c r="O12" s="18" t="n">
        <v>0</v>
      </c>
      <c r="P12" s="20" t="n">
        <v>0</v>
      </c>
      <c r="Q12" s="18" t="n">
        <v>4.03643017</v>
      </c>
      <c r="R12" s="20" t="n">
        <v>1.05690232</v>
      </c>
    </row>
    <row r="13" spans="1:18">
      <c r="A13" s="15" t="s">
        <v>355</v>
      </c>
      <c r="B13" s="17" t="n">
        <v>3559</v>
      </c>
      <c r="C13" s="18">
        <f>(3156.0/B13*100)</f>
        <v/>
      </c>
      <c r="D13" s="19" t="n">
        <v>403</v>
      </c>
      <c r="E13" s="18" t="n">
        <v>15.20464928</v>
      </c>
      <c r="F13" s="20" t="n">
        <v>1.93764627</v>
      </c>
      <c r="G13" s="18" t="n">
        <v>83.75520072</v>
      </c>
      <c r="H13" s="20" t="n">
        <v>2.00297304</v>
      </c>
      <c r="I13" s="18" t="s">
        <v>349</v>
      </c>
      <c r="J13" s="20" t="s">
        <v>349</v>
      </c>
      <c r="K13" s="18" t="n">
        <v>0.3694433</v>
      </c>
      <c r="L13" s="20" t="n">
        <v>0.15454061</v>
      </c>
      <c r="M13" s="18" t="n">
        <v>0.26418172</v>
      </c>
      <c r="N13" s="20" t="n">
        <v>0.22757452</v>
      </c>
      <c r="O13" s="18" t="n">
        <v>0</v>
      </c>
      <c r="P13" s="20" t="n">
        <v>0</v>
      </c>
      <c r="Q13" s="18" t="n">
        <v>0.40652497</v>
      </c>
      <c r="R13" s="20" t="n">
        <v>0.19466684</v>
      </c>
    </row>
    <row r="14" spans="1:18">
      <c r="A14" s="15" t="s">
        <v>356</v>
      </c>
      <c r="B14" s="17" t="n">
        <v>2799</v>
      </c>
      <c r="C14" s="18">
        <f>(2454.0/B14*100)</f>
        <v/>
      </c>
      <c r="D14" s="19" t="n">
        <v>345</v>
      </c>
      <c r="E14" s="18" t="n">
        <v>27.09239526</v>
      </c>
      <c r="F14" s="20" t="n">
        <v>2.63087337</v>
      </c>
      <c r="G14" s="18" t="n">
        <v>71.89570787</v>
      </c>
      <c r="H14" s="20" t="n">
        <v>2.68893484</v>
      </c>
      <c r="I14" s="18" t="s">
        <v>349</v>
      </c>
      <c r="J14" s="20" t="s">
        <v>349</v>
      </c>
      <c r="K14" s="18" t="n">
        <v>0.47185715</v>
      </c>
      <c r="L14" s="20" t="n">
        <v>0.4721015</v>
      </c>
      <c r="M14" s="18" t="n">
        <v>0</v>
      </c>
      <c r="N14" s="20" t="n">
        <v>0</v>
      </c>
      <c r="O14" s="18" t="n">
        <v>0</v>
      </c>
      <c r="P14" s="20" t="n">
        <v>0</v>
      </c>
      <c r="Q14" s="18" t="n">
        <v>0.54003972</v>
      </c>
      <c r="R14" s="20" t="n">
        <v>0.3815226</v>
      </c>
    </row>
    <row r="15" spans="1:18">
      <c r="A15" s="15" t="s">
        <v>357</v>
      </c>
      <c r="B15" s="17" t="n">
        <v>3019</v>
      </c>
      <c r="C15" s="18">
        <f>(2653.0/B15*100)</f>
        <v/>
      </c>
      <c r="D15" s="19" t="n">
        <v>366</v>
      </c>
      <c r="E15" s="18" t="n">
        <v>24.32266549</v>
      </c>
      <c r="F15" s="20" t="n">
        <v>2.30271926</v>
      </c>
      <c r="G15" s="18" t="n">
        <v>70.20268059</v>
      </c>
      <c r="H15" s="20" t="n">
        <v>2.29693356</v>
      </c>
      <c r="I15" s="18" t="s">
        <v>349</v>
      </c>
      <c r="J15" s="20" t="s">
        <v>349</v>
      </c>
      <c r="K15" s="18" t="n">
        <v>2.69852977</v>
      </c>
      <c r="L15" s="20" t="n">
        <v>1.22193349</v>
      </c>
      <c r="M15" s="18" t="n">
        <v>0</v>
      </c>
      <c r="N15" s="20" t="n">
        <v>0</v>
      </c>
      <c r="O15" s="18" t="n">
        <v>0</v>
      </c>
      <c r="P15" s="20" t="n">
        <v>0</v>
      </c>
      <c r="Q15" s="18" t="n">
        <v>2.77612415</v>
      </c>
      <c r="R15" s="20" t="n">
        <v>0.83107842</v>
      </c>
    </row>
    <row r="16" spans="1:18">
      <c r="A16" s="15" t="s">
        <v>358</v>
      </c>
      <c r="B16" s="17" t="n">
        <v>2997</v>
      </c>
      <c r="C16" s="18">
        <f>(2648.0/B16*100)</f>
        <v/>
      </c>
      <c r="D16" s="19" t="n">
        <v>349</v>
      </c>
      <c r="E16" s="18" t="n">
        <v>18.00533605</v>
      </c>
      <c r="F16" s="20" t="n">
        <v>2.04404055</v>
      </c>
      <c r="G16" s="18" t="n">
        <v>73.42416772999999</v>
      </c>
      <c r="H16" s="20" t="n">
        <v>2.17068085</v>
      </c>
      <c r="I16" s="18" t="s">
        <v>349</v>
      </c>
      <c r="J16" s="20" t="s">
        <v>349</v>
      </c>
      <c r="K16" s="18" t="n">
        <v>4.30677825</v>
      </c>
      <c r="L16" s="20" t="n">
        <v>1.07006868</v>
      </c>
      <c r="M16" s="18" t="n">
        <v>0</v>
      </c>
      <c r="N16" s="20" t="n">
        <v>0</v>
      </c>
      <c r="O16" s="18" t="n">
        <v>0</v>
      </c>
      <c r="P16" s="20" t="n">
        <v>0</v>
      </c>
      <c r="Q16" s="18" t="n">
        <v>4.26371797</v>
      </c>
      <c r="R16" s="20" t="n">
        <v>1.08908898</v>
      </c>
    </row>
    <row r="17" spans="1:18">
      <c r="A17" s="15" t="s">
        <v>359</v>
      </c>
      <c r="B17" s="17" t="n">
        <v>3307</v>
      </c>
      <c r="C17" s="18">
        <f>(2931.0/B17*100)</f>
        <v/>
      </c>
      <c r="D17" s="19" t="n">
        <v>376</v>
      </c>
      <c r="E17" s="18" t="n">
        <v>16.31942511</v>
      </c>
      <c r="F17" s="20" t="n">
        <v>2.30648544</v>
      </c>
      <c r="G17" s="18" t="n">
        <v>78.93600725</v>
      </c>
      <c r="H17" s="20" t="n">
        <v>2.57584084</v>
      </c>
      <c r="I17" s="18" t="s">
        <v>349</v>
      </c>
      <c r="J17" s="20" t="s">
        <v>349</v>
      </c>
      <c r="K17" s="18" t="n">
        <v>1.94192722</v>
      </c>
      <c r="L17" s="20" t="n">
        <v>0.87939766</v>
      </c>
      <c r="M17" s="18" t="n">
        <v>0</v>
      </c>
      <c r="N17" s="20" t="n">
        <v>0</v>
      </c>
      <c r="O17" s="18" t="n">
        <v>0</v>
      </c>
      <c r="P17" s="20" t="n">
        <v>0</v>
      </c>
      <c r="Q17" s="18" t="n">
        <v>2.80264041</v>
      </c>
      <c r="R17" s="20" t="n">
        <v>0.91707039</v>
      </c>
    </row>
    <row r="18" spans="1:18">
      <c r="A18" s="15" t="s">
        <v>360</v>
      </c>
      <c r="B18" s="17" t="n">
        <v>2826</v>
      </c>
      <c r="C18" s="18">
        <f>(2480.0/B18*100)</f>
        <v/>
      </c>
      <c r="D18" s="19" t="n">
        <v>346</v>
      </c>
      <c r="E18" s="18" t="n">
        <v>36.90192985</v>
      </c>
      <c r="F18" s="20" t="n">
        <v>3.15229845</v>
      </c>
      <c r="G18" s="18" t="n">
        <v>53.43946011</v>
      </c>
      <c r="H18" s="20" t="n">
        <v>3.23641336</v>
      </c>
      <c r="I18" s="18" t="s">
        <v>349</v>
      </c>
      <c r="J18" s="20" t="s">
        <v>349</v>
      </c>
      <c r="K18" s="18" t="n">
        <v>3.24015353</v>
      </c>
      <c r="L18" s="20" t="n">
        <v>1.23429517</v>
      </c>
      <c r="M18" s="18" t="n">
        <v>0</v>
      </c>
      <c r="N18" s="20" t="n">
        <v>0</v>
      </c>
      <c r="O18" s="18" t="n">
        <v>0</v>
      </c>
      <c r="P18" s="20" t="n">
        <v>0</v>
      </c>
      <c r="Q18" s="18" t="n">
        <v>6.41845651</v>
      </c>
      <c r="R18" s="20" t="n">
        <v>1.95847913</v>
      </c>
    </row>
    <row r="19" spans="1:18">
      <c r="A19" s="15" t="s">
        <v>361</v>
      </c>
      <c r="B19" s="17" t="n">
        <v>2808</v>
      </c>
      <c r="C19" s="18">
        <f>(2464.0/B19*100)</f>
        <v/>
      </c>
      <c r="D19" s="19" t="n">
        <v>344</v>
      </c>
      <c r="E19" s="18" t="n">
        <v>28.0135063</v>
      </c>
      <c r="F19" s="20" t="n">
        <v>2.79170549</v>
      </c>
      <c r="G19" s="18" t="n">
        <v>69.07514349</v>
      </c>
      <c r="H19" s="20" t="n">
        <v>2.94911731</v>
      </c>
      <c r="I19" s="18" t="s">
        <v>349</v>
      </c>
      <c r="J19" s="20" t="s">
        <v>349</v>
      </c>
      <c r="K19" s="18" t="n">
        <v>0.8010551</v>
      </c>
      <c r="L19" s="20" t="n">
        <v>0.37179938</v>
      </c>
      <c r="M19" s="18" t="n">
        <v>0</v>
      </c>
      <c r="N19" s="20" t="n">
        <v>0</v>
      </c>
      <c r="O19" s="18" t="n">
        <v>0</v>
      </c>
      <c r="P19" s="20" t="n">
        <v>0</v>
      </c>
      <c r="Q19" s="18" t="n">
        <v>2.11029511</v>
      </c>
      <c r="R19" s="20" t="n">
        <v>0.83769373</v>
      </c>
    </row>
    <row r="20" spans="1:18">
      <c r="A20" s="15" t="s">
        <v>362</v>
      </c>
      <c r="B20" s="17" t="n">
        <v>1630</v>
      </c>
      <c r="C20" s="18">
        <f>(1438.0/B20*100)</f>
        <v/>
      </c>
      <c r="D20" s="19" t="n">
        <v>192</v>
      </c>
      <c r="E20" s="18" t="n">
        <v>37.8177771</v>
      </c>
      <c r="F20" s="20" t="n">
        <v>3.58455663</v>
      </c>
      <c r="G20" s="18" t="n">
        <v>58.02452507</v>
      </c>
      <c r="H20" s="20" t="n">
        <v>3.64906249</v>
      </c>
      <c r="I20" s="18" t="s">
        <v>349</v>
      </c>
      <c r="J20" s="20" t="s">
        <v>349</v>
      </c>
      <c r="K20" s="18" t="n">
        <v>1.97864349</v>
      </c>
      <c r="L20" s="20" t="n">
        <v>0.9630046</v>
      </c>
      <c r="M20" s="18" t="n">
        <v>0</v>
      </c>
      <c r="N20" s="20" t="n">
        <v>0</v>
      </c>
      <c r="O20" s="18" t="n">
        <v>0</v>
      </c>
      <c r="P20" s="20" t="n">
        <v>0</v>
      </c>
      <c r="Q20" s="18" t="n">
        <v>2.17905434</v>
      </c>
      <c r="R20" s="20" t="n">
        <v>1.08863917</v>
      </c>
    </row>
    <row r="21" spans="1:18">
      <c r="A21" s="15" t="s">
        <v>363</v>
      </c>
      <c r="B21" s="17" t="n">
        <v>2908</v>
      </c>
      <c r="C21" s="18">
        <f>(2403.0/B21*100)</f>
        <v/>
      </c>
      <c r="D21" s="19" t="n">
        <v>505</v>
      </c>
      <c r="E21" s="18" t="n">
        <v>16.3074184</v>
      </c>
      <c r="F21" s="20" t="n">
        <v>1.59230339</v>
      </c>
      <c r="G21" s="18" t="n">
        <v>81.61364924999999</v>
      </c>
      <c r="H21" s="20" t="n">
        <v>1.69102115</v>
      </c>
      <c r="I21" s="18" t="s">
        <v>349</v>
      </c>
      <c r="J21" s="20" t="s">
        <v>349</v>
      </c>
      <c r="K21" s="18" t="n">
        <v>0.99680518</v>
      </c>
      <c r="L21" s="20" t="n">
        <v>0.46154081</v>
      </c>
      <c r="M21" s="18" t="n">
        <v>0</v>
      </c>
      <c r="N21" s="20" t="n">
        <v>0</v>
      </c>
      <c r="O21" s="18" t="n">
        <v>0</v>
      </c>
      <c r="P21" s="20" t="n">
        <v>0</v>
      </c>
      <c r="Q21" s="18" t="n">
        <v>1.08212717</v>
      </c>
      <c r="R21" s="20" t="n">
        <v>0.42417163</v>
      </c>
    </row>
    <row r="22" spans="1:18">
      <c r="A22" s="15" t="s">
        <v>364</v>
      </c>
      <c r="B22" s="17" t="n">
        <v>2931</v>
      </c>
      <c r="C22" s="18">
        <f>(2571.0/B22*100)</f>
        <v/>
      </c>
      <c r="D22" s="19" t="n">
        <v>360</v>
      </c>
      <c r="E22" s="18" t="n">
        <v>29.23208487</v>
      </c>
      <c r="F22" s="20" t="n">
        <v>2.77263371</v>
      </c>
      <c r="G22" s="18" t="n">
        <v>64.36663411000001</v>
      </c>
      <c r="H22" s="20" t="n">
        <v>3.14728608</v>
      </c>
      <c r="I22" s="18" t="s">
        <v>349</v>
      </c>
      <c r="J22" s="20" t="s">
        <v>349</v>
      </c>
      <c r="K22" s="18" t="n">
        <v>2.11353925</v>
      </c>
      <c r="L22" s="20" t="n">
        <v>0.83790988</v>
      </c>
      <c r="M22" s="18" t="n">
        <v>0</v>
      </c>
      <c r="N22" s="20" t="n">
        <v>0</v>
      </c>
      <c r="O22" s="18" t="n">
        <v>0</v>
      </c>
      <c r="P22" s="20" t="n">
        <v>0</v>
      </c>
      <c r="Q22" s="18" t="n">
        <v>4.28774177</v>
      </c>
      <c r="R22" s="20" t="n">
        <v>1.44129644</v>
      </c>
    </row>
    <row r="23" spans="1:18">
      <c r="A23" s="15" t="s">
        <v>365</v>
      </c>
      <c r="B23" s="17" t="n">
        <v>5791</v>
      </c>
      <c r="C23" s="18">
        <f>(5100.0/B23*100)</f>
        <v/>
      </c>
      <c r="D23" s="19" t="n">
        <v>691</v>
      </c>
      <c r="E23" s="18" t="n">
        <v>28.72993991</v>
      </c>
      <c r="F23" s="20" t="n">
        <v>2.40334901</v>
      </c>
      <c r="G23" s="18" t="n">
        <v>63.63456996</v>
      </c>
      <c r="H23" s="20" t="n">
        <v>2.57989975</v>
      </c>
      <c r="I23" s="18" t="s">
        <v>349</v>
      </c>
      <c r="J23" s="20" t="s">
        <v>349</v>
      </c>
      <c r="K23" s="18" t="n">
        <v>3.38259468</v>
      </c>
      <c r="L23" s="20" t="n">
        <v>1.39808257</v>
      </c>
      <c r="M23" s="18" t="n">
        <v>0.16861786</v>
      </c>
      <c r="N23" s="20" t="n">
        <v>0.18045791</v>
      </c>
      <c r="O23" s="18" t="n">
        <v>0</v>
      </c>
      <c r="P23" s="20" t="n">
        <v>0</v>
      </c>
      <c r="Q23" s="18" t="n">
        <v>4.08427759</v>
      </c>
      <c r="R23" s="20" t="n">
        <v>1.23698423</v>
      </c>
    </row>
    <row r="24" spans="1:18">
      <c r="A24" s="15" t="s">
        <v>366</v>
      </c>
      <c r="B24" s="17" t="n">
        <v>3338</v>
      </c>
      <c r="C24" s="18">
        <f>(2944.0/B24*100)</f>
        <v/>
      </c>
      <c r="D24" s="19" t="n">
        <v>394</v>
      </c>
      <c r="E24" s="18" t="n">
        <v>15.8568626</v>
      </c>
      <c r="F24" s="20" t="n">
        <v>1.97140096</v>
      </c>
      <c r="G24" s="18" t="n">
        <v>82.40500508</v>
      </c>
      <c r="H24" s="20" t="n">
        <v>2.01778205</v>
      </c>
      <c r="I24" s="18" t="s">
        <v>349</v>
      </c>
      <c r="J24" s="20" t="s">
        <v>349</v>
      </c>
      <c r="K24" s="18" t="n">
        <v>0.42089389</v>
      </c>
      <c r="L24" s="20" t="n">
        <v>0.3047368</v>
      </c>
      <c r="M24" s="18" t="n">
        <v>0</v>
      </c>
      <c r="N24" s="20" t="n">
        <v>0</v>
      </c>
      <c r="O24" s="18" t="n">
        <v>0</v>
      </c>
      <c r="P24" s="20" t="n">
        <v>0</v>
      </c>
      <c r="Q24" s="18" t="n">
        <v>1.31723843</v>
      </c>
      <c r="R24" s="20" t="n">
        <v>0.5680842</v>
      </c>
    </row>
    <row r="25" spans="1:18">
      <c r="A25" s="15" t="s">
        <v>367</v>
      </c>
      <c r="B25" s="17" t="n">
        <v>2912</v>
      </c>
      <c r="C25" s="18">
        <f>(2539.0/B25*100)</f>
        <v/>
      </c>
      <c r="D25" s="19" t="n">
        <v>373</v>
      </c>
      <c r="E25" s="18" t="n">
        <v>26.09388554</v>
      </c>
      <c r="F25" s="20" t="n">
        <v>2.46426496</v>
      </c>
      <c r="G25" s="18" t="n">
        <v>68.77177193999999</v>
      </c>
      <c r="H25" s="20" t="n">
        <v>2.69285156</v>
      </c>
      <c r="I25" s="18" t="s">
        <v>349</v>
      </c>
      <c r="J25" s="20" t="s">
        <v>349</v>
      </c>
      <c r="K25" s="18" t="n">
        <v>1.91782774</v>
      </c>
      <c r="L25" s="20" t="n">
        <v>0.72002429</v>
      </c>
      <c r="M25" s="18" t="n">
        <v>0</v>
      </c>
      <c r="N25" s="20" t="n">
        <v>0</v>
      </c>
      <c r="O25" s="18" t="n">
        <v>0</v>
      </c>
      <c r="P25" s="20" t="n">
        <v>0</v>
      </c>
      <c r="Q25" s="18" t="n">
        <v>3.21651478</v>
      </c>
      <c r="R25" s="20" t="n">
        <v>1.04391834</v>
      </c>
    </row>
    <row r="26" spans="1:18">
      <c r="A26" s="15" t="s">
        <v>368</v>
      </c>
      <c r="B26" s="17" t="n">
        <v>2450</v>
      </c>
      <c r="C26" s="18">
        <f>(2138.0/B26*100)</f>
        <v/>
      </c>
      <c r="D26" s="19" t="n">
        <v>312</v>
      </c>
      <c r="E26" s="18" t="n">
        <v>28.02579111</v>
      </c>
      <c r="F26" s="20" t="n">
        <v>2.79622376</v>
      </c>
      <c r="G26" s="18" t="n">
        <v>68.7980665</v>
      </c>
      <c r="H26" s="20" t="n">
        <v>2.95430279</v>
      </c>
      <c r="I26" s="18" t="s">
        <v>349</v>
      </c>
      <c r="J26" s="20" t="s">
        <v>349</v>
      </c>
      <c r="K26" s="18" t="n">
        <v>1.30617814</v>
      </c>
      <c r="L26" s="20" t="n">
        <v>0.69046996</v>
      </c>
      <c r="M26" s="18" t="n">
        <v>0</v>
      </c>
      <c r="N26" s="20" t="n">
        <v>0</v>
      </c>
      <c r="O26" s="18" t="n">
        <v>0</v>
      </c>
      <c r="P26" s="20" t="n">
        <v>0</v>
      </c>
      <c r="Q26" s="18" t="n">
        <v>1.86996425</v>
      </c>
      <c r="R26" s="20" t="n">
        <v>0.69943032</v>
      </c>
    </row>
    <row r="27" spans="1:18">
      <c r="A27" s="15" t="s">
        <v>369</v>
      </c>
      <c r="B27" s="17" t="n">
        <v>2616</v>
      </c>
      <c r="C27" s="18">
        <f>(2312.0/B27*100)</f>
        <v/>
      </c>
      <c r="D27" s="19" t="n">
        <v>304</v>
      </c>
      <c r="E27" s="18" t="n">
        <v>30.01152311</v>
      </c>
      <c r="F27" s="20" t="n">
        <v>2.73252292</v>
      </c>
      <c r="G27" s="18" t="n">
        <v>62.72784503</v>
      </c>
      <c r="H27" s="20" t="n">
        <v>3.0146813</v>
      </c>
      <c r="I27" s="18" t="s">
        <v>349</v>
      </c>
      <c r="J27" s="20" t="s">
        <v>349</v>
      </c>
      <c r="K27" s="18" t="n">
        <v>2.65115586</v>
      </c>
      <c r="L27" s="20" t="n">
        <v>0.927764</v>
      </c>
      <c r="M27" s="18" t="n">
        <v>0</v>
      </c>
      <c r="N27" s="20" t="n">
        <v>0</v>
      </c>
      <c r="O27" s="18" t="n">
        <v>0</v>
      </c>
      <c r="P27" s="20" t="n">
        <v>0</v>
      </c>
      <c r="Q27" s="18" t="n">
        <v>4.609476</v>
      </c>
      <c r="R27" s="20" t="n">
        <v>1.2182723</v>
      </c>
    </row>
    <row r="28" spans="1:18">
      <c r="A28" s="15" t="s">
        <v>370</v>
      </c>
      <c r="B28" s="17" t="n">
        <v>3765</v>
      </c>
      <c r="C28" s="18">
        <f>(3320.0/B28*100)</f>
        <v/>
      </c>
      <c r="D28" s="19" t="n">
        <v>445</v>
      </c>
      <c r="E28" s="18" t="n">
        <v>49.59955951</v>
      </c>
      <c r="F28" s="20" t="n">
        <v>2.69191958</v>
      </c>
      <c r="G28" s="18" t="n">
        <v>47.43746786</v>
      </c>
      <c r="H28" s="20" t="n">
        <v>2.64969621</v>
      </c>
      <c r="I28" s="18" t="s">
        <v>349</v>
      </c>
      <c r="J28" s="20" t="s">
        <v>349</v>
      </c>
      <c r="K28" s="18" t="n">
        <v>1.95805724</v>
      </c>
      <c r="L28" s="20" t="n">
        <v>0.8692277</v>
      </c>
      <c r="M28" s="18" t="n">
        <v>0.35916519</v>
      </c>
      <c r="N28" s="20" t="n">
        <v>0.36100845</v>
      </c>
      <c r="O28" s="18" t="n">
        <v>0</v>
      </c>
      <c r="P28" s="20" t="n">
        <v>0</v>
      </c>
      <c r="Q28" s="18" t="n">
        <v>0.6457502000000001</v>
      </c>
      <c r="R28" s="20" t="n">
        <v>0.487352</v>
      </c>
    </row>
    <row r="29" spans="1:18">
      <c r="A29" s="15" t="s">
        <v>371</v>
      </c>
      <c r="B29" s="17" t="n">
        <v>2685</v>
      </c>
      <c r="C29" s="18">
        <f>(2352.0/B29*100)</f>
        <v/>
      </c>
      <c r="D29" s="19" t="n">
        <v>333</v>
      </c>
      <c r="E29" s="18" t="n">
        <v>14.41591247</v>
      </c>
      <c r="F29" s="20" t="n">
        <v>1.84702016</v>
      </c>
      <c r="G29" s="18" t="n">
        <v>84.41202334</v>
      </c>
      <c r="H29" s="20" t="n">
        <v>1.88385167</v>
      </c>
      <c r="I29" s="18" t="s">
        <v>349</v>
      </c>
      <c r="J29" s="20" t="s">
        <v>349</v>
      </c>
      <c r="K29" s="18" t="n">
        <v>0.95668095</v>
      </c>
      <c r="L29" s="20" t="n">
        <v>0.53078064</v>
      </c>
      <c r="M29" s="18" t="n">
        <v>0</v>
      </c>
      <c r="N29" s="20" t="n">
        <v>0</v>
      </c>
      <c r="O29" s="18" t="n">
        <v>0</v>
      </c>
      <c r="P29" s="20" t="n">
        <v>0</v>
      </c>
      <c r="Q29" s="18" t="n">
        <v>0.21538324</v>
      </c>
      <c r="R29" s="20" t="n">
        <v>0.25101669</v>
      </c>
    </row>
    <row r="30" spans="1:18">
      <c r="A30" s="15" t="s">
        <v>372</v>
      </c>
      <c r="B30" s="17" t="n">
        <v>2263</v>
      </c>
      <c r="C30" s="18">
        <f>(2008.0/B30*100)</f>
        <v/>
      </c>
      <c r="D30" s="19" t="n">
        <v>255</v>
      </c>
      <c r="E30" s="18" t="n">
        <v>12.5929724</v>
      </c>
      <c r="F30" s="20" t="n">
        <v>2.16551227</v>
      </c>
      <c r="G30" s="18" t="n">
        <v>83.44376090999999</v>
      </c>
      <c r="H30" s="20" t="n">
        <v>2.32279972</v>
      </c>
      <c r="I30" s="18" t="s">
        <v>349</v>
      </c>
      <c r="J30" s="20" t="s">
        <v>349</v>
      </c>
      <c r="K30" s="18" t="n">
        <v>1.17562841</v>
      </c>
      <c r="L30" s="20" t="n">
        <v>0.64652144</v>
      </c>
      <c r="M30" s="18" t="n">
        <v>0</v>
      </c>
      <c r="N30" s="20" t="n">
        <v>0</v>
      </c>
      <c r="O30" s="18" t="n">
        <v>0</v>
      </c>
      <c r="P30" s="20" t="n">
        <v>0</v>
      </c>
      <c r="Q30" s="18" t="n">
        <v>2.78763828</v>
      </c>
      <c r="R30" s="20" t="n">
        <v>0.95800847</v>
      </c>
    </row>
    <row r="31" spans="1:18">
      <c r="A31" s="15" t="s">
        <v>373</v>
      </c>
      <c r="B31" s="17" t="n">
        <v>2750</v>
      </c>
      <c r="C31" s="18">
        <f>(2424.0/B31*100)</f>
        <v/>
      </c>
      <c r="D31" s="19" t="n">
        <v>326</v>
      </c>
      <c r="E31" s="18" t="n">
        <v>24.03644978</v>
      </c>
      <c r="F31" s="20" t="n">
        <v>2.33384607</v>
      </c>
      <c r="G31" s="18" t="n">
        <v>69.80041283</v>
      </c>
      <c r="H31" s="20" t="n">
        <v>2.59385552</v>
      </c>
      <c r="I31" s="18" t="s">
        <v>349</v>
      </c>
      <c r="J31" s="20" t="s">
        <v>349</v>
      </c>
      <c r="K31" s="18" t="n">
        <v>2.31955189</v>
      </c>
      <c r="L31" s="20" t="n">
        <v>0.83204978</v>
      </c>
      <c r="M31" s="18" t="n">
        <v>0</v>
      </c>
      <c r="N31" s="20" t="n">
        <v>0</v>
      </c>
      <c r="O31" s="18" t="n">
        <v>0</v>
      </c>
      <c r="P31" s="20" t="n">
        <v>0</v>
      </c>
      <c r="Q31" s="18" t="n">
        <v>3.8435855</v>
      </c>
      <c r="R31" s="20" t="n">
        <v>1.04517799</v>
      </c>
    </row>
    <row r="32" spans="1:18">
      <c r="A32" s="15" t="s">
        <v>374</v>
      </c>
      <c r="B32" s="17" t="n">
        <v>2269</v>
      </c>
      <c r="C32" s="18">
        <f>(1896.0/B32*100)</f>
        <v/>
      </c>
      <c r="D32" s="19" t="n">
        <v>373</v>
      </c>
      <c r="E32" s="18" t="n">
        <v>23.15964245</v>
      </c>
      <c r="F32" s="20" t="n">
        <v>2.34439035</v>
      </c>
      <c r="G32" s="18" t="n">
        <v>75.63308477</v>
      </c>
      <c r="H32" s="20" t="n">
        <v>2.50377293</v>
      </c>
      <c r="I32" s="18" t="s">
        <v>349</v>
      </c>
      <c r="J32" s="20" t="s">
        <v>349</v>
      </c>
      <c r="K32" s="18" t="n">
        <v>0.4753107</v>
      </c>
      <c r="L32" s="20" t="n">
        <v>0.33865178</v>
      </c>
      <c r="M32" s="18" t="n">
        <v>0</v>
      </c>
      <c r="N32" s="20" t="n">
        <v>0</v>
      </c>
      <c r="O32" s="18" t="n">
        <v>0</v>
      </c>
      <c r="P32" s="20" t="n">
        <v>0</v>
      </c>
      <c r="Q32" s="18" t="n">
        <v>0.73196209</v>
      </c>
      <c r="R32" s="20" t="n">
        <v>0.42160441</v>
      </c>
    </row>
    <row r="33" spans="1:18">
      <c r="A33" s="15" t="s">
        <v>375</v>
      </c>
      <c r="B33" s="17" t="n">
        <v>3674</v>
      </c>
      <c r="C33" s="18">
        <f>(3236.0/B33*100)</f>
        <v/>
      </c>
      <c r="D33" s="19" t="n">
        <v>438</v>
      </c>
      <c r="E33" s="18" t="n">
        <v>23.17323233</v>
      </c>
      <c r="F33" s="20" t="n">
        <v>2.23361921</v>
      </c>
      <c r="G33" s="18" t="n">
        <v>74.67360730999999</v>
      </c>
      <c r="H33" s="20" t="n">
        <v>2.33246941</v>
      </c>
      <c r="I33" s="18" t="s">
        <v>349</v>
      </c>
      <c r="J33" s="20" t="s">
        <v>349</v>
      </c>
      <c r="K33" s="18" t="n">
        <v>0.3325107</v>
      </c>
      <c r="L33" s="20" t="n">
        <v>0.29111552</v>
      </c>
      <c r="M33" s="18" t="n">
        <v>0</v>
      </c>
      <c r="N33" s="20" t="n">
        <v>0</v>
      </c>
      <c r="O33" s="18" t="n">
        <v>0</v>
      </c>
      <c r="P33" s="20" t="n">
        <v>0</v>
      </c>
      <c r="Q33" s="18" t="n">
        <v>1.82064965</v>
      </c>
      <c r="R33" s="20" t="n">
        <v>0.74315661</v>
      </c>
    </row>
    <row r="34" spans="1:18">
      <c r="A34" s="15" t="s">
        <v>376</v>
      </c>
      <c r="B34" s="17" t="n">
        <v>3315</v>
      </c>
      <c r="C34" s="18">
        <f>(2936.0/B34*100)</f>
        <v/>
      </c>
      <c r="D34" s="19" t="n">
        <v>379</v>
      </c>
      <c r="E34" s="18" t="n">
        <v>35.38009191</v>
      </c>
      <c r="F34" s="20" t="n">
        <v>2.73240174</v>
      </c>
      <c r="G34" s="18" t="n">
        <v>61.54970082</v>
      </c>
      <c r="H34" s="20" t="n">
        <v>2.78612183</v>
      </c>
      <c r="I34" s="18" t="s">
        <v>349</v>
      </c>
      <c r="J34" s="20" t="s">
        <v>349</v>
      </c>
      <c r="K34" s="18" t="n">
        <v>0.81473027</v>
      </c>
      <c r="L34" s="20" t="n">
        <v>0.48642751</v>
      </c>
      <c r="M34" s="18" t="n">
        <v>0.17232852</v>
      </c>
      <c r="N34" s="20" t="n">
        <v>0.17341739</v>
      </c>
      <c r="O34" s="18" t="n">
        <v>0</v>
      </c>
      <c r="P34" s="20" t="n">
        <v>0</v>
      </c>
      <c r="Q34" s="18" t="n">
        <v>2.08314848</v>
      </c>
      <c r="R34" s="20" t="n">
        <v>0.74705824</v>
      </c>
    </row>
    <row r="35" spans="1:18">
      <c r="A35" s="15" t="s">
        <v>377</v>
      </c>
      <c r="B35" s="17" t="n">
        <v>3505</v>
      </c>
      <c r="C35" s="18">
        <f>(3101.0/B35*100)</f>
        <v/>
      </c>
      <c r="D35" s="19" t="n">
        <v>404</v>
      </c>
      <c r="E35" s="18" t="n">
        <v>25.66912807</v>
      </c>
      <c r="F35" s="20" t="n">
        <v>2.63914831</v>
      </c>
      <c r="G35" s="18" t="n">
        <v>71.01153453000001</v>
      </c>
      <c r="H35" s="20" t="n">
        <v>2.75417355</v>
      </c>
      <c r="I35" s="18" t="s">
        <v>349</v>
      </c>
      <c r="J35" s="20" t="s">
        <v>349</v>
      </c>
      <c r="K35" s="18" t="n">
        <v>1.27054797</v>
      </c>
      <c r="L35" s="20" t="n">
        <v>0.51807644</v>
      </c>
      <c r="M35" s="18" t="n">
        <v>0.44164949</v>
      </c>
      <c r="N35" s="20" t="n">
        <v>0.43947898</v>
      </c>
      <c r="O35" s="18" t="n">
        <v>0</v>
      </c>
      <c r="P35" s="20" t="n">
        <v>0</v>
      </c>
      <c r="Q35" s="18" t="n">
        <v>1.60713994</v>
      </c>
      <c r="R35" s="20" t="n">
        <v>0.66238807</v>
      </c>
    </row>
    <row r="36" spans="1:18">
      <c r="A36" s="15" t="s">
        <v>378</v>
      </c>
      <c r="B36" s="17" t="n">
        <v>3332</v>
      </c>
      <c r="C36" s="18">
        <f>(2946.0/B36*100)</f>
        <v/>
      </c>
      <c r="D36" s="19" t="n">
        <v>386</v>
      </c>
      <c r="E36" s="18" t="n">
        <v>25.27144425</v>
      </c>
      <c r="F36" s="20" t="n">
        <v>2.23241903</v>
      </c>
      <c r="G36" s="18" t="n">
        <v>69.31544741</v>
      </c>
      <c r="H36" s="20" t="n">
        <v>2.20988231</v>
      </c>
      <c r="I36" s="18" t="s">
        <v>349</v>
      </c>
      <c r="J36" s="20" t="s">
        <v>349</v>
      </c>
      <c r="K36" s="18" t="n">
        <v>2.0889424</v>
      </c>
      <c r="L36" s="20" t="n">
        <v>0.7711638</v>
      </c>
      <c r="M36" s="18" t="n">
        <v>0</v>
      </c>
      <c r="N36" s="20" t="n">
        <v>0</v>
      </c>
      <c r="O36" s="18" t="n">
        <v>0</v>
      </c>
      <c r="P36" s="20" t="n">
        <v>0</v>
      </c>
      <c r="Q36" s="18" t="n">
        <v>3.32416595</v>
      </c>
      <c r="R36" s="20" t="n">
        <v>0.8662585</v>
      </c>
    </row>
    <row r="37" spans="1:18">
      <c r="A37" s="15" t="s">
        <v>379</v>
      </c>
      <c r="B37" s="17" t="n">
        <v>2727</v>
      </c>
      <c r="C37" s="18">
        <f>(2409.0/B37*100)</f>
        <v/>
      </c>
      <c r="D37" s="19" t="n">
        <v>318</v>
      </c>
      <c r="E37" s="18" t="n">
        <v>24.23414069</v>
      </c>
      <c r="F37" s="20" t="n">
        <v>2.77682033</v>
      </c>
      <c r="G37" s="18" t="n">
        <v>67.62893269</v>
      </c>
      <c r="H37" s="20" t="n">
        <v>2.78479387</v>
      </c>
      <c r="I37" s="18" t="s">
        <v>349</v>
      </c>
      <c r="J37" s="20" t="s">
        <v>349</v>
      </c>
      <c r="K37" s="18" t="n">
        <v>4.2235944</v>
      </c>
      <c r="L37" s="20" t="n">
        <v>1.35502597</v>
      </c>
      <c r="M37" s="18" t="n">
        <v>0</v>
      </c>
      <c r="N37" s="20" t="n">
        <v>0</v>
      </c>
      <c r="O37" s="18" t="n">
        <v>0</v>
      </c>
      <c r="P37" s="20" t="n">
        <v>0</v>
      </c>
      <c r="Q37" s="18" t="n">
        <v>3.91333223</v>
      </c>
      <c r="R37" s="20" t="n">
        <v>1.1592001</v>
      </c>
    </row>
    <row r="38" spans="1:18">
      <c r="A38" s="15" t="s">
        <v>380</v>
      </c>
      <c r="B38" s="17" t="n">
        <v>3053</v>
      </c>
      <c r="C38" s="18">
        <f>(2528.0/B38*100)</f>
        <v/>
      </c>
      <c r="D38" s="19" t="n">
        <v>525</v>
      </c>
      <c r="E38" s="18" t="n">
        <v>19.7296305</v>
      </c>
      <c r="F38" s="20" t="n">
        <v>2.06989327</v>
      </c>
      <c r="G38" s="18" t="n">
        <v>74.98607819</v>
      </c>
      <c r="H38" s="20" t="n">
        <v>2.32332754</v>
      </c>
      <c r="I38" s="18" t="s">
        <v>349</v>
      </c>
      <c r="J38" s="20" t="s">
        <v>349</v>
      </c>
      <c r="K38" s="18" t="n">
        <v>2.35149996</v>
      </c>
      <c r="L38" s="20" t="n">
        <v>0.73648568</v>
      </c>
      <c r="M38" s="18" t="n">
        <v>0</v>
      </c>
      <c r="N38" s="20" t="n">
        <v>0</v>
      </c>
      <c r="O38" s="18" t="n">
        <v>0</v>
      </c>
      <c r="P38" s="20" t="n">
        <v>0</v>
      </c>
      <c r="Q38" s="18" t="n">
        <v>2.93279134</v>
      </c>
      <c r="R38" s="20" t="n">
        <v>0.71850448</v>
      </c>
    </row>
    <row r="39" spans="1:18">
      <c r="A39" s="15" t="s">
        <v>381</v>
      </c>
      <c r="B39" s="17" t="n">
        <v>2957</v>
      </c>
      <c r="C39" s="18">
        <f>(2588.0/B39*100)</f>
        <v/>
      </c>
      <c r="D39" s="19" t="n">
        <v>369</v>
      </c>
      <c r="E39" s="18" t="n">
        <v>46.12296773</v>
      </c>
      <c r="F39" s="20" t="n">
        <v>2.47510875</v>
      </c>
      <c r="G39" s="18" t="n">
        <v>50.24884114</v>
      </c>
      <c r="H39" s="20" t="n">
        <v>2.6663375</v>
      </c>
      <c r="I39" s="18" t="s">
        <v>349</v>
      </c>
      <c r="J39" s="20" t="s">
        <v>349</v>
      </c>
      <c r="K39" s="18" t="n">
        <v>1.12868019</v>
      </c>
      <c r="L39" s="20" t="n">
        <v>0.60341609</v>
      </c>
      <c r="M39" s="18" t="n">
        <v>0</v>
      </c>
      <c r="N39" s="20" t="n">
        <v>0</v>
      </c>
      <c r="O39" s="18" t="n">
        <v>0</v>
      </c>
      <c r="P39" s="20" t="n">
        <v>0</v>
      </c>
      <c r="Q39" s="18" t="n">
        <v>2.49951094</v>
      </c>
      <c r="R39" s="20" t="n">
        <v>0.88723723</v>
      </c>
    </row>
    <row r="40" spans="1:18">
      <c r="A40" s="15" t="s">
        <v>382</v>
      </c>
      <c r="B40" s="17" t="n">
        <v>7235</v>
      </c>
      <c r="C40" s="18">
        <f>(6359.0/B40*100)</f>
        <v/>
      </c>
      <c r="D40" s="19" t="n">
        <v>876</v>
      </c>
      <c r="E40" s="18" t="n">
        <v>18.10869785</v>
      </c>
      <c r="F40" s="20" t="n">
        <v>1.99191735</v>
      </c>
      <c r="G40" s="18" t="n">
        <v>77.07067533999999</v>
      </c>
      <c r="H40" s="20" t="n">
        <v>2.49235222</v>
      </c>
      <c r="I40" s="18" t="s">
        <v>349</v>
      </c>
      <c r="J40" s="20" t="s">
        <v>349</v>
      </c>
      <c r="K40" s="18" t="n">
        <v>1.48384185</v>
      </c>
      <c r="L40" s="20" t="n">
        <v>0.65765219</v>
      </c>
      <c r="M40" s="18" t="n">
        <v>0.18995786</v>
      </c>
      <c r="N40" s="20" t="n">
        <v>0.1816544</v>
      </c>
      <c r="O40" s="18" t="n">
        <v>0</v>
      </c>
      <c r="P40" s="20" t="n">
        <v>0</v>
      </c>
      <c r="Q40" s="18" t="n">
        <v>3.14682709</v>
      </c>
      <c r="R40" s="20" t="n">
        <v>1.19252942</v>
      </c>
    </row>
    <row r="41" spans="1:18">
      <c r="A41" s="15" t="s">
        <v>383</v>
      </c>
      <c r="B41" s="17" t="n">
        <v>2858</v>
      </c>
      <c r="C41" s="18">
        <f>(2527.0/B41*100)</f>
        <v/>
      </c>
      <c r="D41" s="19" t="n">
        <v>331</v>
      </c>
      <c r="E41" s="18" t="n">
        <v>21.80379779</v>
      </c>
      <c r="F41" s="20" t="n">
        <v>2.56946493</v>
      </c>
      <c r="G41" s="18" t="n">
        <v>77.5099197</v>
      </c>
      <c r="H41" s="20" t="n">
        <v>2.60970871</v>
      </c>
      <c r="I41" s="18" t="s">
        <v>349</v>
      </c>
      <c r="J41" s="20" t="s">
        <v>349</v>
      </c>
      <c r="K41" s="18" t="n">
        <v>0.68628251</v>
      </c>
      <c r="L41" s="20" t="n">
        <v>0.48365104</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(10003.0/B46*100)</f>
        <v/>
      </c>
      <c r="D46" s="19" t="n">
        <v>1065</v>
      </c>
      <c r="E46" s="18" t="n">
        <v>45.08790726</v>
      </c>
      <c r="F46" s="20" t="n">
        <v>2.0939561</v>
      </c>
      <c r="G46" s="18" t="n">
        <v>44.2429867</v>
      </c>
      <c r="H46" s="20" t="n">
        <v>2.05604061</v>
      </c>
      <c r="I46" s="18" t="s">
        <v>349</v>
      </c>
      <c r="J46" s="20" t="s">
        <v>349</v>
      </c>
      <c r="K46" s="18" t="n">
        <v>2.36118302</v>
      </c>
      <c r="L46" s="20" t="n">
        <v>0.59137797</v>
      </c>
      <c r="M46" s="18" t="n">
        <v>0.09644394000000001</v>
      </c>
      <c r="N46" s="20" t="n">
        <v>0.07102114</v>
      </c>
      <c r="O46" s="18" t="n">
        <v>0</v>
      </c>
      <c r="P46" s="20" t="n">
        <v>0</v>
      </c>
      <c r="Q46" s="18" t="n">
        <v>8.21147908</v>
      </c>
      <c r="R46" s="20" t="n">
        <v>1.1110729</v>
      </c>
    </row>
    <row r="47" spans="1:18">
      <c r="A47" s="15" t="s">
        <v>389</v>
      </c>
      <c r="B47" s="17" t="n">
        <v>3105</v>
      </c>
      <c r="C47" s="18">
        <f>(2750.0/B47*100)</f>
        <v/>
      </c>
      <c r="D47" s="19" t="n">
        <v>355</v>
      </c>
      <c r="E47" s="18" t="n">
        <v>42.64685553</v>
      </c>
      <c r="F47" s="20" t="n">
        <v>2.719295</v>
      </c>
      <c r="G47" s="18" t="n">
        <v>45.8435347</v>
      </c>
      <c r="H47" s="20" t="n">
        <v>2.81538426</v>
      </c>
      <c r="I47" s="18" t="s">
        <v>349</v>
      </c>
      <c r="J47" s="20" t="s">
        <v>349</v>
      </c>
      <c r="K47" s="18" t="n">
        <v>3.26082907</v>
      </c>
      <c r="L47" s="20" t="n">
        <v>1.03237067</v>
      </c>
      <c r="M47" s="18" t="n">
        <v>0</v>
      </c>
      <c r="N47" s="20" t="n">
        <v>0</v>
      </c>
      <c r="O47" s="18" t="n">
        <v>0</v>
      </c>
      <c r="P47" s="20" t="n">
        <v>0</v>
      </c>
      <c r="Q47" s="18" t="n">
        <v>8.24878069</v>
      </c>
      <c r="R47" s="20" t="n">
        <v>1.76117647</v>
      </c>
    </row>
    <row r="48" spans="1:18">
      <c r="A48" s="15" t="s">
        <v>390</v>
      </c>
      <c r="B48" s="17" t="n">
        <v>5159</v>
      </c>
      <c r="C48" s="18">
        <f>(4524.0/B48*100)</f>
        <v/>
      </c>
      <c r="D48" s="19" t="n">
        <v>635</v>
      </c>
      <c r="E48" s="18" t="n">
        <v>22.12855582</v>
      </c>
      <c r="F48" s="20" t="n">
        <v>2.02283921</v>
      </c>
      <c r="G48" s="18" t="n">
        <v>74.02739153</v>
      </c>
      <c r="H48" s="20" t="n">
        <v>2.03044817</v>
      </c>
      <c r="I48" s="18" t="s">
        <v>349</v>
      </c>
      <c r="J48" s="20" t="s">
        <v>349</v>
      </c>
      <c r="K48" s="18" t="n">
        <v>1.49581672</v>
      </c>
      <c r="L48" s="20" t="n">
        <v>0.5828586100000001</v>
      </c>
      <c r="M48" s="18" t="n">
        <v>0.11813673</v>
      </c>
      <c r="N48" s="20" t="n">
        <v>0.11835127</v>
      </c>
      <c r="O48" s="18" t="n">
        <v>0</v>
      </c>
      <c r="P48" s="20" t="n">
        <v>0</v>
      </c>
      <c r="Q48" s="18" t="n">
        <v>2.23009921</v>
      </c>
      <c r="R48" s="20" t="n">
        <v>0.86766228</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(4970.0/B50*100)</f>
        <v/>
      </c>
      <c r="D50" s="19" t="n">
        <v>667</v>
      </c>
      <c r="E50" s="18" t="n">
        <v>50.84238652</v>
      </c>
      <c r="F50" s="20" t="n">
        <v>2.68608342</v>
      </c>
      <c r="G50" s="18" t="n">
        <v>41.60318869</v>
      </c>
      <c r="H50" s="20" t="n">
        <v>2.44697588</v>
      </c>
      <c r="I50" s="18" t="s">
        <v>349</v>
      </c>
      <c r="J50" s="20" t="s">
        <v>349</v>
      </c>
      <c r="K50" s="18" t="n">
        <v>4.59084526</v>
      </c>
      <c r="L50" s="20" t="n">
        <v>1.23074897</v>
      </c>
      <c r="M50" s="18" t="n">
        <v>0.37062812</v>
      </c>
      <c r="N50" s="20" t="n">
        <v>0.31881349</v>
      </c>
      <c r="O50" s="18" t="n">
        <v>0</v>
      </c>
      <c r="P50" s="20" t="n">
        <v>0</v>
      </c>
      <c r="Q50" s="18" t="n">
        <v>2.59295141</v>
      </c>
      <c r="R50" s="20" t="n">
        <v>0.94665377</v>
      </c>
    </row>
    <row r="51" spans="1:18">
      <c r="A51" s="15" t="s">
        <v>393</v>
      </c>
      <c r="B51" s="17" t="n">
        <v>3372</v>
      </c>
      <c r="C51" s="18">
        <f>(3021.0/B51*100)</f>
        <v/>
      </c>
      <c r="D51" s="19" t="n">
        <v>351</v>
      </c>
      <c r="E51" s="18" t="n">
        <v>50.93251946</v>
      </c>
      <c r="F51" s="20" t="n">
        <v>3.12078219</v>
      </c>
      <c r="G51" s="18" t="n">
        <v>45.30207185</v>
      </c>
      <c r="H51" s="20" t="n">
        <v>3.01386847</v>
      </c>
      <c r="I51" s="18" t="s">
        <v>349</v>
      </c>
      <c r="J51" s="20" t="s">
        <v>349</v>
      </c>
      <c r="K51" s="18" t="n">
        <v>2.23037326</v>
      </c>
      <c r="L51" s="20" t="n">
        <v>0.86589163</v>
      </c>
      <c r="M51" s="18" t="n">
        <v>0</v>
      </c>
      <c r="N51" s="20" t="n">
        <v>0</v>
      </c>
      <c r="O51" s="18" t="n">
        <v>0</v>
      </c>
      <c r="P51" s="20" t="n">
        <v>0</v>
      </c>
      <c r="Q51" s="18" t="n">
        <v>1.53503544</v>
      </c>
      <c r="R51" s="20" t="n">
        <v>0.69242908</v>
      </c>
    </row>
    <row r="52" spans="1:18">
      <c r="A52" s="15" t="s">
        <v>394</v>
      </c>
      <c r="B52" s="17" t="n">
        <v>2796</v>
      </c>
      <c r="C52" s="18">
        <f>(2460.0/B52*100)</f>
        <v/>
      </c>
      <c r="D52" s="19" t="n">
        <v>336</v>
      </c>
      <c r="E52" s="18" t="n">
        <v>41.55598427</v>
      </c>
      <c r="F52" s="20" t="n">
        <v>2.43734057</v>
      </c>
      <c r="G52" s="18" t="n">
        <v>54.51417894</v>
      </c>
      <c r="H52" s="20" t="n">
        <v>2.81145789</v>
      </c>
      <c r="I52" s="18" t="s">
        <v>349</v>
      </c>
      <c r="J52" s="20" t="s">
        <v>349</v>
      </c>
      <c r="K52" s="18" t="n">
        <v>1.99152267</v>
      </c>
      <c r="L52" s="20" t="n">
        <v>0.62870337</v>
      </c>
      <c r="M52" s="18" t="n">
        <v>0</v>
      </c>
      <c r="N52" s="20" t="n">
        <v>0</v>
      </c>
      <c r="O52" s="18" t="n">
        <v>0</v>
      </c>
      <c r="P52" s="20" t="n">
        <v>0</v>
      </c>
      <c r="Q52" s="18" t="n">
        <v>1.93831412</v>
      </c>
      <c r="R52" s="20" t="n">
        <v>0.76288347</v>
      </c>
    </row>
    <row r="53" spans="1:18">
      <c r="A53" s="15" t="s">
        <v>395</v>
      </c>
      <c r="B53" s="17" t="n">
        <v>2811</v>
      </c>
      <c r="C53" s="18">
        <f>(2470.0/B53*100)</f>
        <v/>
      </c>
      <c r="D53" s="19" t="n">
        <v>341</v>
      </c>
      <c r="E53" s="18" t="n">
        <v>41.42500633</v>
      </c>
      <c r="F53" s="20" t="n">
        <v>2.87056942</v>
      </c>
      <c r="G53" s="18" t="n">
        <v>48.20644646</v>
      </c>
      <c r="H53" s="20" t="n">
        <v>2.92238213</v>
      </c>
      <c r="I53" s="18" t="s">
        <v>349</v>
      </c>
      <c r="J53" s="20" t="s">
        <v>349</v>
      </c>
      <c r="K53" s="18" t="n">
        <v>2.78886399</v>
      </c>
      <c r="L53" s="20" t="n">
        <v>0.91393997</v>
      </c>
      <c r="M53" s="18" t="n">
        <v>0</v>
      </c>
      <c r="N53" s="20" t="n">
        <v>0</v>
      </c>
      <c r="O53" s="18" t="n">
        <v>0</v>
      </c>
      <c r="P53" s="20" t="n">
        <v>0</v>
      </c>
      <c r="Q53" s="18" t="n">
        <v>7.57968322</v>
      </c>
      <c r="R53" s="20" t="n">
        <v>1.37375504</v>
      </c>
    </row>
    <row r="54" spans="1:18">
      <c r="A54" s="15" t="s">
        <v>396</v>
      </c>
      <c r="B54" s="17" t="n">
        <v>2266</v>
      </c>
      <c r="C54" s="18">
        <f>(1930.0/B54*100)</f>
        <v/>
      </c>
      <c r="D54" s="19" t="n">
        <v>336</v>
      </c>
      <c r="E54" s="18" t="n">
        <v>53.31090467</v>
      </c>
      <c r="F54" s="20" t="n">
        <v>3.02058557</v>
      </c>
      <c r="G54" s="18" t="n">
        <v>22.50874062</v>
      </c>
      <c r="H54" s="20" t="n">
        <v>2.46736831</v>
      </c>
      <c r="I54" s="18" t="s">
        <v>349</v>
      </c>
      <c r="J54" s="20" t="s">
        <v>349</v>
      </c>
      <c r="K54" s="18" t="n">
        <v>15.5889608</v>
      </c>
      <c r="L54" s="20" t="n">
        <v>2.28567621</v>
      </c>
      <c r="M54" s="18" t="n">
        <v>0.59987324</v>
      </c>
      <c r="N54" s="20" t="n">
        <v>0.46696073</v>
      </c>
      <c r="O54" s="18" t="n">
        <v>0</v>
      </c>
      <c r="P54" s="20" t="n">
        <v>0</v>
      </c>
      <c r="Q54" s="18" t="n">
        <v>7.99152066</v>
      </c>
      <c r="R54" s="20" t="n">
        <v>1.80792015</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24.60229203</v>
      </c>
      <c r="F56" s="20" t="n">
        <v>2.42581613</v>
      </c>
      <c r="G56" s="18" t="n">
        <v>74.12651704</v>
      </c>
      <c r="H56" s="20" t="n">
        <v>2.61325561</v>
      </c>
      <c r="I56" s="18" t="s">
        <v>349</v>
      </c>
      <c r="J56" s="20" t="s">
        <v>349</v>
      </c>
      <c r="K56" s="18" t="n">
        <v>0.64103159</v>
      </c>
      <c r="L56" s="20" t="n">
        <v>0.37474573</v>
      </c>
      <c r="M56" s="18" t="n">
        <v>0</v>
      </c>
      <c r="N56" s="20" t="n">
        <v>0</v>
      </c>
      <c r="O56" s="18" t="n">
        <v>0</v>
      </c>
      <c r="P56" s="20" t="n">
        <v>0</v>
      </c>
      <c r="Q56" s="18" t="n">
        <v>0.63015934</v>
      </c>
      <c r="R56" s="20" t="n">
        <v>0.49150953</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(2910.0/B61*100)</f>
        <v/>
      </c>
      <c r="D61" s="19" t="n">
        <v>414</v>
      </c>
      <c r="E61" s="18" t="n">
        <v>31.14302789</v>
      </c>
      <c r="F61" s="20" t="n">
        <v>2.40826866</v>
      </c>
      <c r="G61" s="18" t="n">
        <v>66.03284604</v>
      </c>
      <c r="H61" s="20" t="n">
        <v>2.46786555</v>
      </c>
      <c r="I61" s="18" t="s">
        <v>349</v>
      </c>
      <c r="J61" s="20" t="s">
        <v>349</v>
      </c>
      <c r="K61" s="18" t="n">
        <v>0.54550128</v>
      </c>
      <c r="L61" s="20" t="n">
        <v>0.4118497</v>
      </c>
      <c r="M61" s="18" t="n">
        <v>0</v>
      </c>
      <c r="N61" s="20" t="n">
        <v>0</v>
      </c>
      <c r="O61" s="18" t="n">
        <v>0</v>
      </c>
      <c r="P61" s="20" t="n">
        <v>0</v>
      </c>
      <c r="Q61" s="18" t="n">
        <v>2.27862479</v>
      </c>
      <c r="R61" s="20" t="n">
        <v>0.64716853</v>
      </c>
    </row>
    <row r="62" spans="1:18">
      <c r="A62" s="15" t="s">
        <v>404</v>
      </c>
      <c r="B62" s="17" t="n">
        <v>2246</v>
      </c>
      <c r="C62" s="18">
        <f>(1956.0/B62*100)</f>
        <v/>
      </c>
      <c r="D62" s="19" t="n">
        <v>290</v>
      </c>
      <c r="E62" s="18" t="n">
        <v>18.63049691</v>
      </c>
      <c r="F62" s="20" t="n">
        <v>2.32462587</v>
      </c>
      <c r="G62" s="18" t="n">
        <v>78.95749044</v>
      </c>
      <c r="H62" s="20" t="n">
        <v>2.37990123</v>
      </c>
      <c r="I62" s="18" t="s">
        <v>349</v>
      </c>
      <c r="J62" s="20" t="s">
        <v>349</v>
      </c>
      <c r="K62" s="18" t="n">
        <v>0</v>
      </c>
      <c r="L62" s="20" t="n">
        <v>0</v>
      </c>
      <c r="M62" s="18" t="n">
        <v>0.34601069</v>
      </c>
      <c r="N62" s="20" t="n">
        <v>0.34632088</v>
      </c>
      <c r="O62" s="18" t="n">
        <v>0</v>
      </c>
      <c r="P62" s="20" t="n">
        <v>0</v>
      </c>
      <c r="Q62" s="18" t="n">
        <v>2.06600196</v>
      </c>
      <c r="R62" s="20" t="n">
        <v>0.7993015999999999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(2549.0/B66*100)</f>
        <v/>
      </c>
      <c r="D66" s="19" t="n">
        <v>345</v>
      </c>
      <c r="E66" s="18" t="n">
        <v>44.69178327</v>
      </c>
      <c r="F66" s="20" t="n">
        <v>2.82963396</v>
      </c>
      <c r="G66" s="18" t="n">
        <v>31.98486984</v>
      </c>
      <c r="H66" s="20" t="n">
        <v>2.80342631</v>
      </c>
      <c r="I66" s="18" t="s">
        <v>349</v>
      </c>
      <c r="J66" s="20" t="s">
        <v>349</v>
      </c>
      <c r="K66" s="18" t="n">
        <v>3.52630167</v>
      </c>
      <c r="L66" s="20" t="n">
        <v>0.84396721</v>
      </c>
      <c r="M66" s="18" t="n">
        <v>0</v>
      </c>
      <c r="N66" s="20" t="n">
        <v>0</v>
      </c>
      <c r="O66" s="18" t="n">
        <v>0</v>
      </c>
      <c r="P66" s="20" t="n">
        <v>0</v>
      </c>
      <c r="Q66" s="18" t="n">
        <v>19.79704522</v>
      </c>
      <c r="R66" s="20" t="n">
        <v>1.94052686</v>
      </c>
    </row>
    <row r="67" spans="1:18">
      <c r="A67" s="15" t="s">
        <v>409</v>
      </c>
      <c r="B67" s="17" t="n">
        <v>3511</v>
      </c>
      <c r="C67" s="18">
        <f>(3150.0/B67*100)</f>
        <v/>
      </c>
      <c r="D67" s="19" t="n">
        <v>361</v>
      </c>
      <c r="E67" s="18" t="n">
        <v>58.44656869</v>
      </c>
      <c r="F67" s="20" t="n">
        <v>2.24168638</v>
      </c>
      <c r="G67" s="18" t="n">
        <v>36.73070638</v>
      </c>
      <c r="H67" s="20" t="n">
        <v>2.19016239</v>
      </c>
      <c r="I67" s="18" t="s">
        <v>349</v>
      </c>
      <c r="J67" s="20" t="s">
        <v>349</v>
      </c>
      <c r="K67" s="18" t="n">
        <v>1.3025333</v>
      </c>
      <c r="L67" s="20" t="n">
        <v>0.59709523</v>
      </c>
      <c r="M67" s="18" t="n">
        <v>0.22616243</v>
      </c>
      <c r="N67" s="20" t="n">
        <v>0.22464348</v>
      </c>
      <c r="O67" s="18" t="n">
        <v>0</v>
      </c>
      <c r="P67" s="20" t="n">
        <v>0</v>
      </c>
      <c r="Q67" s="18" t="n">
        <v>3.2940292</v>
      </c>
      <c r="R67" s="20" t="n">
        <v>1.00499076</v>
      </c>
    </row>
    <row r="68" spans="1:18">
      <c r="A68" s="15" t="s">
        <v>410</v>
      </c>
      <c r="B68" s="17" t="n">
        <v>6049</v>
      </c>
      <c r="C68" s="18">
        <f>(5051.0/B68*100)</f>
        <v/>
      </c>
      <c r="D68" s="19" t="n">
        <v>998</v>
      </c>
      <c r="E68" s="18" t="n">
        <v>42.22792957</v>
      </c>
      <c r="F68" s="20" t="n">
        <v>1.83233528</v>
      </c>
      <c r="G68" s="18" t="n">
        <v>47.41495127</v>
      </c>
      <c r="H68" s="20" t="n">
        <v>1.79174678</v>
      </c>
      <c r="I68" s="18" t="s">
        <v>349</v>
      </c>
      <c r="J68" s="20" t="s">
        <v>349</v>
      </c>
      <c r="K68" s="18" t="n">
        <v>5.44695934</v>
      </c>
      <c r="L68" s="20" t="n">
        <v>0.72629033</v>
      </c>
      <c r="M68" s="18" t="n">
        <v>0.09561623</v>
      </c>
      <c r="N68" s="20" t="n">
        <v>0.09561210000000001</v>
      </c>
      <c r="O68" s="18" t="n">
        <v>0</v>
      </c>
      <c r="P68" s="20" t="n">
        <v>0</v>
      </c>
      <c r="Q68" s="18" t="n">
        <v>4.8145436</v>
      </c>
      <c r="R68" s="20" t="n">
        <v>0.64996382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(2554.0/B70*100)</f>
        <v/>
      </c>
      <c r="D70" s="19" t="n">
        <v>375</v>
      </c>
      <c r="E70" s="18" t="n">
        <v>24.52919253</v>
      </c>
      <c r="F70" s="20" t="n">
        <v>2.48397968</v>
      </c>
      <c r="G70" s="18" t="n">
        <v>72.93011103000001</v>
      </c>
      <c r="H70" s="20" t="n">
        <v>2.71460067</v>
      </c>
      <c r="I70" s="18" t="s">
        <v>349</v>
      </c>
      <c r="J70" s="20" t="s">
        <v>349</v>
      </c>
      <c r="K70" s="18" t="n">
        <v>0.6486237500000001</v>
      </c>
      <c r="L70" s="20" t="n">
        <v>0.6300608599999999</v>
      </c>
      <c r="M70" s="18" t="n">
        <v>0.25003931</v>
      </c>
      <c r="N70" s="20" t="n">
        <v>0.24812278</v>
      </c>
      <c r="O70" s="18" t="n">
        <v>0</v>
      </c>
      <c r="P70" s="20" t="n">
        <v>0</v>
      </c>
      <c r="Q70" s="18" t="n">
        <v>1.64203338</v>
      </c>
      <c r="R70" s="20" t="n">
        <v>0.69309068</v>
      </c>
    </row>
    <row r="71" spans="1:18">
      <c r="A71" s="15" t="s">
        <v>413</v>
      </c>
      <c r="B71" s="17" t="n">
        <v>3142</v>
      </c>
      <c r="C71" s="18">
        <f>(2756.0/B71*100)</f>
        <v/>
      </c>
      <c r="D71" s="19" t="n">
        <v>386</v>
      </c>
      <c r="E71" s="18" t="n">
        <v>18.00980736</v>
      </c>
      <c r="F71" s="20" t="n">
        <v>1.65723146</v>
      </c>
      <c r="G71" s="18" t="n">
        <v>81.02512840999999</v>
      </c>
      <c r="H71" s="20" t="n">
        <v>1.74598862</v>
      </c>
      <c r="I71" s="18" t="s">
        <v>349</v>
      </c>
      <c r="J71" s="20" t="s">
        <v>349</v>
      </c>
      <c r="K71" s="18" t="n">
        <v>0.15285469</v>
      </c>
      <c r="L71" s="20" t="n">
        <v>0.15544143</v>
      </c>
      <c r="M71" s="18" t="n">
        <v>0</v>
      </c>
      <c r="N71" s="20" t="n">
        <v>0</v>
      </c>
      <c r="O71" s="18" t="n">
        <v>0</v>
      </c>
      <c r="P71" s="20" t="n">
        <v>0</v>
      </c>
      <c r="Q71" s="18" t="n">
        <v>0.81220954</v>
      </c>
      <c r="R71" s="20" t="n">
        <v>0.47623442</v>
      </c>
    </row>
    <row r="72" spans="1:18">
      <c r="A72" s="15" t="s">
        <v>414</v>
      </c>
      <c r="B72" s="17" t="n">
        <v>3889</v>
      </c>
      <c r="C72" s="18">
        <f>(3420.0/B72*100)</f>
        <v/>
      </c>
      <c r="D72" s="19" t="n">
        <v>469</v>
      </c>
      <c r="E72" s="18" t="n">
        <v>20.08724132</v>
      </c>
      <c r="F72" s="20" t="n">
        <v>1.89168043</v>
      </c>
      <c r="G72" s="18" t="n">
        <v>78.64991276000001</v>
      </c>
      <c r="H72" s="20" t="n">
        <v>1.91017358</v>
      </c>
      <c r="I72" s="18" t="s">
        <v>349</v>
      </c>
      <c r="J72" s="20" t="s">
        <v>349</v>
      </c>
      <c r="K72" s="18" t="n">
        <v>0.39093757</v>
      </c>
      <c r="L72" s="20" t="n">
        <v>0.30508637</v>
      </c>
      <c r="M72" s="18" t="n">
        <v>0</v>
      </c>
      <c r="N72" s="20" t="n">
        <v>0</v>
      </c>
      <c r="O72" s="18" t="n">
        <v>0</v>
      </c>
      <c r="P72" s="20" t="n">
        <v>0</v>
      </c>
      <c r="Q72" s="18" t="n">
        <v>0.87190835</v>
      </c>
      <c r="R72" s="20" t="n">
        <v>0.36002045</v>
      </c>
    </row>
    <row r="73" spans="1:18">
      <c r="A73" s="15" t="s">
        <v>415</v>
      </c>
      <c r="B73" s="17" t="n">
        <v>3597</v>
      </c>
      <c r="C73" s="18">
        <f>(3182.0/B73*100)</f>
        <v/>
      </c>
      <c r="D73" s="19" t="n">
        <v>415</v>
      </c>
      <c r="E73" s="18" t="n">
        <v>44.9920164</v>
      </c>
      <c r="F73" s="20" t="n">
        <v>2.80468558</v>
      </c>
      <c r="G73" s="18" t="n">
        <v>53.6003599</v>
      </c>
      <c r="H73" s="20" t="n">
        <v>2.82029045</v>
      </c>
      <c r="I73" s="18" t="s">
        <v>349</v>
      </c>
      <c r="J73" s="20" t="s">
        <v>349</v>
      </c>
      <c r="K73" s="18" t="n">
        <v>0.39592886</v>
      </c>
      <c r="L73" s="20" t="n">
        <v>0.39262674</v>
      </c>
      <c r="M73" s="18" t="n">
        <v>0</v>
      </c>
      <c r="N73" s="20" t="n">
        <v>0</v>
      </c>
      <c r="O73" s="18" t="n">
        <v>0</v>
      </c>
      <c r="P73" s="20" t="n">
        <v>0</v>
      </c>
      <c r="Q73" s="18" t="n">
        <v>1.01169484</v>
      </c>
      <c r="R73" s="20" t="n">
        <v>0.5686439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(2147.0/B75*100)</f>
        <v/>
      </c>
      <c r="D75" s="19" t="n">
        <v>259</v>
      </c>
      <c r="E75" s="18" t="n">
        <v>51.5583467</v>
      </c>
      <c r="F75" s="20" t="n">
        <v>3.52430306</v>
      </c>
      <c r="G75" s="18" t="n">
        <v>29.91741042</v>
      </c>
      <c r="H75" s="20" t="n">
        <v>3.39428657</v>
      </c>
      <c r="I75" s="18" t="s">
        <v>349</v>
      </c>
      <c r="J75" s="20" t="s">
        <v>349</v>
      </c>
      <c r="K75" s="18" t="n">
        <v>6.31161249</v>
      </c>
      <c r="L75" s="20" t="n">
        <v>1.49892875</v>
      </c>
      <c r="M75" s="18" t="n">
        <v>0.44816635</v>
      </c>
      <c r="N75" s="20" t="n">
        <v>0.44315368</v>
      </c>
      <c r="O75" s="18" t="n">
        <v>0</v>
      </c>
      <c r="P75" s="20" t="n">
        <v>0</v>
      </c>
      <c r="Q75" s="18" t="n">
        <v>11.76446404</v>
      </c>
      <c r="R75" s="20" t="n">
        <v>2.44571117</v>
      </c>
    </row>
    <row r="76" spans="1:18">
      <c r="A76" s="15" t="s">
        <v>418</v>
      </c>
      <c r="B76" s="17" t="n">
        <v>7052</v>
      </c>
      <c r="C76" s="18">
        <f>(6190.0/B76*100)</f>
        <v/>
      </c>
      <c r="D76" s="19" t="n">
        <v>862</v>
      </c>
      <c r="E76" s="18" t="n">
        <v>44.05941583</v>
      </c>
      <c r="F76" s="20" t="n">
        <v>2.31417012</v>
      </c>
      <c r="G76" s="18" t="n">
        <v>49.78802531</v>
      </c>
      <c r="H76" s="20" t="n">
        <v>2.34506448</v>
      </c>
      <c r="I76" s="18" t="s">
        <v>349</v>
      </c>
      <c r="J76" s="20" t="s">
        <v>349</v>
      </c>
      <c r="K76" s="18" t="n">
        <v>1.75088753</v>
      </c>
      <c r="L76" s="20" t="n">
        <v>0.56716387</v>
      </c>
      <c r="M76" s="18" t="n">
        <v>0.05988028</v>
      </c>
      <c r="N76" s="20" t="n">
        <v>0.0600208</v>
      </c>
      <c r="O76" s="18" t="n">
        <v>0</v>
      </c>
      <c r="P76" s="20" t="n">
        <v>0</v>
      </c>
      <c r="Q76" s="18" t="n">
        <v>4.34179106</v>
      </c>
      <c r="R76" s="20" t="n">
        <v>0.96055184</v>
      </c>
    </row>
    <row r="77" spans="1:18">
      <c r="A77" s="15" t="s">
        <v>419</v>
      </c>
      <c r="B77" s="17" t="n">
        <v>2908</v>
      </c>
      <c r="C77" s="18">
        <f>(2557.0/B77*100)</f>
        <v/>
      </c>
      <c r="D77" s="19" t="n">
        <v>351</v>
      </c>
      <c r="E77" s="18" t="n">
        <v>36.30019904</v>
      </c>
      <c r="F77" s="20" t="n">
        <v>2.46743284</v>
      </c>
      <c r="G77" s="18" t="n">
        <v>51.8187083</v>
      </c>
      <c r="H77" s="20" t="n">
        <v>2.52209211</v>
      </c>
      <c r="I77" s="18" t="s">
        <v>349</v>
      </c>
      <c r="J77" s="20" t="s">
        <v>349</v>
      </c>
      <c r="K77" s="18" t="n">
        <v>4.33291087</v>
      </c>
      <c r="L77" s="20" t="n">
        <v>1.26900493</v>
      </c>
      <c r="M77" s="18" t="n">
        <v>2.70231706</v>
      </c>
      <c r="N77" s="20" t="n">
        <v>0.88790445</v>
      </c>
      <c r="O77" s="18" t="n">
        <v>0</v>
      </c>
      <c r="P77" s="20" t="n">
        <v>0</v>
      </c>
      <c r="Q77" s="18" t="n">
        <v>4.84586473</v>
      </c>
      <c r="R77" s="20" t="n">
        <v>1.22473373</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(3662.0/B81*100)</f>
        <v/>
      </c>
      <c r="D81" s="19" t="n">
        <v>501</v>
      </c>
      <c r="E81" s="18" t="n">
        <v>37.35097481</v>
      </c>
      <c r="F81" s="20" t="n">
        <v>3.20946033</v>
      </c>
      <c r="G81" s="18" t="n">
        <v>62.04324114</v>
      </c>
      <c r="H81" s="20" t="n">
        <v>3.25124268</v>
      </c>
      <c r="I81" s="18" t="s">
        <v>349</v>
      </c>
      <c r="J81" s="20" t="s">
        <v>349</v>
      </c>
      <c r="K81" s="18" t="n">
        <v>0</v>
      </c>
      <c r="L81" s="20" t="n">
        <v>0</v>
      </c>
      <c r="M81" s="18" t="n">
        <v>0</v>
      </c>
      <c r="N81" s="20" t="n">
        <v>0</v>
      </c>
      <c r="O81" s="18" t="n">
        <v>0</v>
      </c>
      <c r="P81" s="20" t="n">
        <v>0</v>
      </c>
      <c r="Q81" s="18" t="n">
        <v>0.60578405</v>
      </c>
      <c r="R81" s="20" t="n">
        <v>0.44661129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(6438.0/B7*100)</f>
        <v/>
      </c>
      <c r="D7" s="19" t="n">
        <v>929</v>
      </c>
      <c r="E7" s="18" t="n">
        <v>61.85644691</v>
      </c>
      <c r="F7" s="20" t="n">
        <v>1.86328156</v>
      </c>
      <c r="G7" s="18" t="n">
        <v>35.96633144</v>
      </c>
      <c r="H7" s="20" t="n">
        <v>1.85723074</v>
      </c>
      <c r="I7" s="18" t="s">
        <v>349</v>
      </c>
      <c r="J7" s="20" t="s">
        <v>349</v>
      </c>
      <c r="K7" s="18" t="n">
        <v>2.17722165</v>
      </c>
      <c r="L7" s="20" t="n">
        <v>0.67598101</v>
      </c>
      <c r="M7" s="18" t="n">
        <v>0</v>
      </c>
      <c r="N7" s="20" t="n">
        <v>0</v>
      </c>
      <c r="O7" s="18" t="n">
        <v>0</v>
      </c>
      <c r="P7" s="20" t="n">
        <v>0</v>
      </c>
      <c r="Q7" s="18" t="n">
        <v>0</v>
      </c>
      <c r="R7" s="20" t="n">
        <v>0</v>
      </c>
    </row>
    <row r="8" spans="1:18">
      <c r="A8" s="15" t="s">
        <v>350</v>
      </c>
      <c r="B8" s="17" t="n">
        <v>3564</v>
      </c>
      <c r="C8" s="18">
        <f>(3128.0/B8*100)</f>
        <v/>
      </c>
      <c r="D8" s="19" t="n">
        <v>436</v>
      </c>
      <c r="E8" s="18" t="n">
        <v>56.57508787</v>
      </c>
      <c r="F8" s="20" t="n">
        <v>2.680705</v>
      </c>
      <c r="G8" s="18" t="n">
        <v>41.52497511</v>
      </c>
      <c r="H8" s="20" t="n">
        <v>2.44785121</v>
      </c>
      <c r="I8" s="18" t="s">
        <v>349</v>
      </c>
      <c r="J8" s="20" t="s">
        <v>349</v>
      </c>
      <c r="K8" s="18" t="n">
        <v>1.89993703</v>
      </c>
      <c r="L8" s="20" t="n">
        <v>0.99856616</v>
      </c>
      <c r="M8" s="18" t="n">
        <v>0</v>
      </c>
      <c r="N8" s="20" t="n">
        <v>0</v>
      </c>
      <c r="O8" s="18" t="n">
        <v>0</v>
      </c>
      <c r="P8" s="20" t="n">
        <v>0</v>
      </c>
      <c r="Q8" s="18" t="n">
        <v>0</v>
      </c>
      <c r="R8" s="20" t="n">
        <v>0</v>
      </c>
    </row>
    <row r="9" spans="1:18">
      <c r="A9" s="15" t="s">
        <v>351</v>
      </c>
      <c r="B9" s="17" t="n">
        <v>4899</v>
      </c>
      <c r="C9" s="18">
        <f>(4342.0/B9*100)</f>
        <v/>
      </c>
      <c r="D9" s="19" t="n">
        <v>557</v>
      </c>
      <c r="E9" s="18" t="n">
        <v>58.22303938</v>
      </c>
      <c r="F9" s="20" t="n">
        <v>2.23481815</v>
      </c>
      <c r="G9" s="18" t="n">
        <v>40.26876011</v>
      </c>
      <c r="H9" s="20" t="n">
        <v>2.2262451</v>
      </c>
      <c r="I9" s="18" t="s">
        <v>349</v>
      </c>
      <c r="J9" s="20" t="s">
        <v>349</v>
      </c>
      <c r="K9" s="18" t="n">
        <v>1.50820051</v>
      </c>
      <c r="L9" s="20" t="n">
        <v>0.52826778</v>
      </c>
      <c r="M9" s="18" t="n">
        <v>0</v>
      </c>
      <c r="N9" s="20" t="n">
        <v>0</v>
      </c>
      <c r="O9" s="18" t="n">
        <v>0</v>
      </c>
      <c r="P9" s="20" t="n">
        <v>0</v>
      </c>
      <c r="Q9" s="18" t="n">
        <v>0</v>
      </c>
      <c r="R9" s="20" t="n">
        <v>0</v>
      </c>
    </row>
    <row r="10" spans="1:18">
      <c r="A10" s="15" t="s">
        <v>352</v>
      </c>
      <c r="B10" s="17" t="n">
        <v>10036</v>
      </c>
      <c r="C10" s="18">
        <f>(8818.0/B10*100)</f>
        <v/>
      </c>
      <c r="D10" s="19" t="n">
        <v>1218</v>
      </c>
      <c r="E10" s="18" t="n">
        <v>64.27269688</v>
      </c>
      <c r="F10" s="20" t="n">
        <v>1.58387307</v>
      </c>
      <c r="G10" s="18" t="n">
        <v>33.90203351</v>
      </c>
      <c r="H10" s="20" t="n">
        <v>1.52738113</v>
      </c>
      <c r="I10" s="18" t="s">
        <v>349</v>
      </c>
      <c r="J10" s="20" t="s">
        <v>349</v>
      </c>
      <c r="K10" s="18" t="n">
        <v>1.82526961</v>
      </c>
      <c r="L10" s="20" t="n">
        <v>0.62946598</v>
      </c>
      <c r="M10" s="18" t="n">
        <v>0</v>
      </c>
      <c r="N10" s="20" t="n">
        <v>0</v>
      </c>
      <c r="O10" s="18" t="n">
        <v>0</v>
      </c>
      <c r="P10" s="20" t="n">
        <v>0</v>
      </c>
      <c r="Q10" s="18" t="n">
        <v>0</v>
      </c>
      <c r="R10" s="20" t="n">
        <v>0</v>
      </c>
    </row>
    <row r="11" spans="1:18">
      <c r="A11" s="15" t="s">
        <v>353</v>
      </c>
      <c r="B11" s="17" t="n">
        <v>3553</v>
      </c>
      <c r="C11" s="18">
        <f>(3146.0/B11*100)</f>
        <v/>
      </c>
      <c r="D11" s="19" t="n">
        <v>407</v>
      </c>
      <c r="E11" s="18" t="n">
        <v>68.56666604999999</v>
      </c>
      <c r="F11" s="20" t="n">
        <v>2.69780034</v>
      </c>
      <c r="G11" s="18" t="n">
        <v>27.09391238</v>
      </c>
      <c r="H11" s="20" t="n">
        <v>2.62449054</v>
      </c>
      <c r="I11" s="18" t="s">
        <v>349</v>
      </c>
      <c r="J11" s="20" t="s">
        <v>349</v>
      </c>
      <c r="K11" s="18" t="n">
        <v>4.33942157</v>
      </c>
      <c r="L11" s="20" t="n">
        <v>1.0414858</v>
      </c>
      <c r="M11" s="18" t="n">
        <v>0</v>
      </c>
      <c r="N11" s="20" t="n">
        <v>0</v>
      </c>
      <c r="O11" s="18" t="n">
        <v>0</v>
      </c>
      <c r="P11" s="20" t="n">
        <v>0</v>
      </c>
      <c r="Q11" s="18" t="n">
        <v>0</v>
      </c>
      <c r="R11" s="20" t="n">
        <v>0</v>
      </c>
    </row>
    <row r="12" spans="1:18">
      <c r="A12" s="15" t="s">
        <v>354</v>
      </c>
      <c r="B12" s="17" t="n">
        <v>3472</v>
      </c>
      <c r="C12" s="18">
        <f>(3050.0/B12*100)</f>
        <v/>
      </c>
      <c r="D12" s="19" t="n">
        <v>422</v>
      </c>
      <c r="E12" s="18" t="n">
        <v>61.3414575</v>
      </c>
      <c r="F12" s="20" t="n">
        <v>2.62080053</v>
      </c>
      <c r="G12" s="18" t="n">
        <v>36.72291514</v>
      </c>
      <c r="H12" s="20" t="n">
        <v>2.58707164</v>
      </c>
      <c r="I12" s="18" t="s">
        <v>349</v>
      </c>
      <c r="J12" s="20" t="s">
        <v>349</v>
      </c>
      <c r="K12" s="18" t="n">
        <v>1.93562736</v>
      </c>
      <c r="L12" s="20" t="n">
        <v>0.65226239</v>
      </c>
      <c r="M12" s="18" t="n">
        <v>0</v>
      </c>
      <c r="N12" s="20" t="n">
        <v>0</v>
      </c>
      <c r="O12" s="18" t="n">
        <v>0</v>
      </c>
      <c r="P12" s="20" t="n">
        <v>0</v>
      </c>
      <c r="Q12" s="18" t="n">
        <v>0</v>
      </c>
      <c r="R12" s="20" t="n">
        <v>0</v>
      </c>
    </row>
    <row r="13" spans="1:18">
      <c r="A13" s="15" t="s">
        <v>355</v>
      </c>
      <c r="B13" s="17" t="n">
        <v>3559</v>
      </c>
      <c r="C13" s="18">
        <f>(3156.0/B13*100)</f>
        <v/>
      </c>
      <c r="D13" s="19" t="n">
        <v>403</v>
      </c>
      <c r="E13" s="18" t="n">
        <v>57.15450481</v>
      </c>
      <c r="F13" s="20" t="n">
        <v>2.80980612</v>
      </c>
      <c r="G13" s="18" t="n">
        <v>42.20390167</v>
      </c>
      <c r="H13" s="20" t="n">
        <v>2.77685226</v>
      </c>
      <c r="I13" s="18" t="s">
        <v>349</v>
      </c>
      <c r="J13" s="20" t="s">
        <v>349</v>
      </c>
      <c r="K13" s="18" t="n">
        <v>0.64159352</v>
      </c>
      <c r="L13" s="20" t="n">
        <v>0.23214432</v>
      </c>
      <c r="M13" s="18" t="n">
        <v>0</v>
      </c>
      <c r="N13" s="20" t="n">
        <v>0</v>
      </c>
      <c r="O13" s="18" t="n">
        <v>0</v>
      </c>
      <c r="P13" s="20" t="n">
        <v>0</v>
      </c>
      <c r="Q13" s="18" t="n">
        <v>0</v>
      </c>
      <c r="R13" s="20" t="n">
        <v>0</v>
      </c>
    </row>
    <row r="14" spans="1:18">
      <c r="A14" s="15" t="s">
        <v>356</v>
      </c>
      <c r="B14" s="17" t="n">
        <v>2799</v>
      </c>
      <c r="C14" s="18">
        <f>(2454.0/B14*100)</f>
        <v/>
      </c>
      <c r="D14" s="19" t="n">
        <v>345</v>
      </c>
      <c r="E14" s="18" t="n">
        <v>61.6276599</v>
      </c>
      <c r="F14" s="20" t="n">
        <v>2.97648437</v>
      </c>
      <c r="G14" s="18" t="n">
        <v>37.90048295</v>
      </c>
      <c r="H14" s="20" t="n">
        <v>2.95604898</v>
      </c>
      <c r="I14" s="18" t="s">
        <v>349</v>
      </c>
      <c r="J14" s="20" t="s">
        <v>349</v>
      </c>
      <c r="K14" s="18" t="n">
        <v>0.47185715</v>
      </c>
      <c r="L14" s="20" t="n">
        <v>0.4721015</v>
      </c>
      <c r="M14" s="18" t="n">
        <v>0</v>
      </c>
      <c r="N14" s="20" t="n">
        <v>0</v>
      </c>
      <c r="O14" s="18" t="n">
        <v>0</v>
      </c>
      <c r="P14" s="20" t="n">
        <v>0</v>
      </c>
      <c r="Q14" s="18" t="n">
        <v>0</v>
      </c>
      <c r="R14" s="20" t="n">
        <v>0</v>
      </c>
    </row>
    <row r="15" spans="1:18">
      <c r="A15" s="15" t="s">
        <v>357</v>
      </c>
      <c r="B15" s="17" t="n">
        <v>3019</v>
      </c>
      <c r="C15" s="18">
        <f>(2651.0/B15*100)</f>
        <v/>
      </c>
      <c r="D15" s="19" t="n">
        <v>368</v>
      </c>
      <c r="E15" s="18" t="n">
        <v>59.18817655</v>
      </c>
      <c r="F15" s="20" t="n">
        <v>2.41379512</v>
      </c>
      <c r="G15" s="18" t="n">
        <v>37.02695789</v>
      </c>
      <c r="H15" s="20" t="n">
        <v>2.32236865</v>
      </c>
      <c r="I15" s="18" t="s">
        <v>349</v>
      </c>
      <c r="J15" s="20" t="s">
        <v>349</v>
      </c>
      <c r="K15" s="18" t="n">
        <v>3.78486556</v>
      </c>
      <c r="L15" s="20" t="n">
        <v>1.37669739</v>
      </c>
      <c r="M15" s="18" t="n">
        <v>0</v>
      </c>
      <c r="N15" s="20" t="n">
        <v>0</v>
      </c>
      <c r="O15" s="18" t="n">
        <v>0</v>
      </c>
      <c r="P15" s="20" t="n">
        <v>0</v>
      </c>
      <c r="Q15" s="18" t="n">
        <v>0</v>
      </c>
      <c r="R15" s="20" t="n">
        <v>0</v>
      </c>
    </row>
    <row r="16" spans="1:18">
      <c r="A16" s="15" t="s">
        <v>358</v>
      </c>
      <c r="B16" s="17" t="n">
        <v>2997</v>
      </c>
      <c r="C16" s="18">
        <f>(2647.0/B16*100)</f>
        <v/>
      </c>
      <c r="D16" s="19" t="n">
        <v>350</v>
      </c>
      <c r="E16" s="18" t="n">
        <v>51.33494628</v>
      </c>
      <c r="F16" s="20" t="n">
        <v>2.45806759</v>
      </c>
      <c r="G16" s="18" t="n">
        <v>43.08646154</v>
      </c>
      <c r="H16" s="20" t="n">
        <v>2.38697628</v>
      </c>
      <c r="I16" s="18" t="s">
        <v>349</v>
      </c>
      <c r="J16" s="20" t="s">
        <v>349</v>
      </c>
      <c r="K16" s="18" t="n">
        <v>5.57859218</v>
      </c>
      <c r="L16" s="20" t="n">
        <v>1.2672795</v>
      </c>
      <c r="M16" s="18" t="n">
        <v>0</v>
      </c>
      <c r="N16" s="20" t="n">
        <v>0</v>
      </c>
      <c r="O16" s="18" t="n">
        <v>0</v>
      </c>
      <c r="P16" s="20" t="n">
        <v>0</v>
      </c>
      <c r="Q16" s="18" t="n">
        <v>0</v>
      </c>
      <c r="R16" s="20" t="n">
        <v>0</v>
      </c>
    </row>
    <row r="17" spans="1:18">
      <c r="A17" s="15" t="s">
        <v>359</v>
      </c>
      <c r="B17" s="17" t="n">
        <v>3307</v>
      </c>
      <c r="C17" s="18">
        <f>(2931.0/B17*100)</f>
        <v/>
      </c>
      <c r="D17" s="19" t="n">
        <v>376</v>
      </c>
      <c r="E17" s="18" t="n">
        <v>52.86319195</v>
      </c>
      <c r="F17" s="20" t="n">
        <v>2.42252932</v>
      </c>
      <c r="G17" s="18" t="n">
        <v>44.19147192</v>
      </c>
      <c r="H17" s="20" t="n">
        <v>2.53866339</v>
      </c>
      <c r="I17" s="18" t="s">
        <v>349</v>
      </c>
      <c r="J17" s="20" t="s">
        <v>349</v>
      </c>
      <c r="K17" s="18" t="n">
        <v>2.94533613</v>
      </c>
      <c r="L17" s="20" t="n">
        <v>0.8935158600000001</v>
      </c>
      <c r="M17" s="18" t="n">
        <v>0</v>
      </c>
      <c r="N17" s="20" t="n">
        <v>0</v>
      </c>
      <c r="O17" s="18" t="n">
        <v>0</v>
      </c>
      <c r="P17" s="20" t="n">
        <v>0</v>
      </c>
      <c r="Q17" s="18" t="n">
        <v>0</v>
      </c>
      <c r="R17" s="20" t="n">
        <v>0</v>
      </c>
    </row>
    <row r="18" spans="1:18">
      <c r="A18" s="15" t="s">
        <v>360</v>
      </c>
      <c r="B18" s="17" t="n">
        <v>2826</v>
      </c>
      <c r="C18" s="18">
        <f>(2480.0/B18*100)</f>
        <v/>
      </c>
      <c r="D18" s="19" t="n">
        <v>346</v>
      </c>
      <c r="E18" s="18" t="n">
        <v>60.48461047</v>
      </c>
      <c r="F18" s="20" t="n">
        <v>3.06698686</v>
      </c>
      <c r="G18" s="18" t="n">
        <v>36.05855265</v>
      </c>
      <c r="H18" s="20" t="n">
        <v>3.1803018</v>
      </c>
      <c r="I18" s="18" t="s">
        <v>349</v>
      </c>
      <c r="J18" s="20" t="s">
        <v>349</v>
      </c>
      <c r="K18" s="18" t="n">
        <v>3.45683689</v>
      </c>
      <c r="L18" s="20" t="n">
        <v>1.2544991</v>
      </c>
      <c r="M18" s="18" t="n">
        <v>0</v>
      </c>
      <c r="N18" s="20" t="n">
        <v>0</v>
      </c>
      <c r="O18" s="18" t="n">
        <v>0</v>
      </c>
      <c r="P18" s="20" t="n">
        <v>0</v>
      </c>
      <c r="Q18" s="18" t="n">
        <v>0</v>
      </c>
      <c r="R18" s="20" t="n">
        <v>0</v>
      </c>
    </row>
    <row r="19" spans="1:18">
      <c r="A19" s="15" t="s">
        <v>361</v>
      </c>
      <c r="B19" s="17" t="n">
        <v>2808</v>
      </c>
      <c r="C19" s="18">
        <f>(2464.0/B19*100)</f>
        <v/>
      </c>
      <c r="D19" s="19" t="n">
        <v>344</v>
      </c>
      <c r="E19" s="18" t="n">
        <v>59.50257097</v>
      </c>
      <c r="F19" s="20" t="n">
        <v>2.66295478</v>
      </c>
      <c r="G19" s="18" t="n">
        <v>39.43399089</v>
      </c>
      <c r="H19" s="20" t="n">
        <v>2.73640037</v>
      </c>
      <c r="I19" s="18" t="s">
        <v>349</v>
      </c>
      <c r="J19" s="20" t="s">
        <v>349</v>
      </c>
      <c r="K19" s="18" t="n">
        <v>1.06343813</v>
      </c>
      <c r="L19" s="20" t="n">
        <v>0.45455147</v>
      </c>
      <c r="M19" s="18" t="n">
        <v>0</v>
      </c>
      <c r="N19" s="20" t="n">
        <v>0</v>
      </c>
      <c r="O19" s="18" t="n">
        <v>0</v>
      </c>
      <c r="P19" s="20" t="n">
        <v>0</v>
      </c>
      <c r="Q19" s="18" t="n">
        <v>0</v>
      </c>
      <c r="R19" s="20" t="n">
        <v>0</v>
      </c>
    </row>
    <row r="20" spans="1:18">
      <c r="A20" s="15" t="s">
        <v>362</v>
      </c>
      <c r="B20" s="17" t="n">
        <v>1630</v>
      </c>
      <c r="C20" s="18">
        <f>(1438.0/B20*100)</f>
        <v/>
      </c>
      <c r="D20" s="19" t="n">
        <v>192</v>
      </c>
      <c r="E20" s="18" t="n">
        <v>64.5565792</v>
      </c>
      <c r="F20" s="20" t="n">
        <v>3.19516688</v>
      </c>
      <c r="G20" s="18" t="n">
        <v>33.46477731</v>
      </c>
      <c r="H20" s="20" t="n">
        <v>3.26105388</v>
      </c>
      <c r="I20" s="18" t="s">
        <v>349</v>
      </c>
      <c r="J20" s="20" t="s">
        <v>349</v>
      </c>
      <c r="K20" s="18" t="n">
        <v>1.97864349</v>
      </c>
      <c r="L20" s="20" t="n">
        <v>0.9630046</v>
      </c>
      <c r="M20" s="18" t="n">
        <v>0</v>
      </c>
      <c r="N20" s="20" t="n">
        <v>0</v>
      </c>
      <c r="O20" s="18" t="n">
        <v>0</v>
      </c>
      <c r="P20" s="20" t="n">
        <v>0</v>
      </c>
      <c r="Q20" s="18" t="n">
        <v>0</v>
      </c>
      <c r="R20" s="20" t="n">
        <v>0</v>
      </c>
    </row>
    <row r="21" spans="1:18">
      <c r="A21" s="15" t="s">
        <v>363</v>
      </c>
      <c r="B21" s="17" t="n">
        <v>2908</v>
      </c>
      <c r="C21" s="18">
        <f>(2403.0/B21*100)</f>
        <v/>
      </c>
      <c r="D21" s="19" t="n">
        <v>505</v>
      </c>
      <c r="E21" s="18" t="n">
        <v>65.79738807</v>
      </c>
      <c r="F21" s="20" t="n">
        <v>2.27516406</v>
      </c>
      <c r="G21" s="18" t="n">
        <v>32.50967614</v>
      </c>
      <c r="H21" s="20" t="n">
        <v>2.2680064</v>
      </c>
      <c r="I21" s="18" t="s">
        <v>349</v>
      </c>
      <c r="J21" s="20" t="s">
        <v>349</v>
      </c>
      <c r="K21" s="18" t="n">
        <v>1.69293579</v>
      </c>
      <c r="L21" s="20" t="n">
        <v>0.59901171</v>
      </c>
      <c r="M21" s="18" t="n">
        <v>0</v>
      </c>
      <c r="N21" s="20" t="n">
        <v>0</v>
      </c>
      <c r="O21" s="18" t="n">
        <v>0</v>
      </c>
      <c r="P21" s="20" t="n">
        <v>0</v>
      </c>
      <c r="Q21" s="18" t="n">
        <v>0</v>
      </c>
      <c r="R21" s="20" t="n">
        <v>0</v>
      </c>
    </row>
    <row r="22" spans="1:18">
      <c r="A22" s="15" t="s">
        <v>364</v>
      </c>
      <c r="B22" s="17" t="n">
        <v>2931</v>
      </c>
      <c r="C22" s="18">
        <f>(2571.0/B22*100)</f>
        <v/>
      </c>
      <c r="D22" s="19" t="n">
        <v>360</v>
      </c>
      <c r="E22" s="18" t="n">
        <v>51.97264987</v>
      </c>
      <c r="F22" s="20" t="n">
        <v>3.19327962</v>
      </c>
      <c r="G22" s="18" t="n">
        <v>44.8094387</v>
      </c>
      <c r="H22" s="20" t="n">
        <v>3.014543</v>
      </c>
      <c r="I22" s="18" t="s">
        <v>349</v>
      </c>
      <c r="J22" s="20" t="s">
        <v>349</v>
      </c>
      <c r="K22" s="18" t="n">
        <v>3.21791144</v>
      </c>
      <c r="L22" s="20" t="n">
        <v>1.0673898</v>
      </c>
      <c r="M22" s="18" t="n">
        <v>0</v>
      </c>
      <c r="N22" s="20" t="n">
        <v>0</v>
      </c>
      <c r="O22" s="18" t="n">
        <v>0</v>
      </c>
      <c r="P22" s="20" t="n">
        <v>0</v>
      </c>
      <c r="Q22" s="18" t="n">
        <v>0</v>
      </c>
      <c r="R22" s="20" t="n">
        <v>0</v>
      </c>
    </row>
    <row r="23" spans="1:18">
      <c r="A23" s="15" t="s">
        <v>365</v>
      </c>
      <c r="B23" s="17" t="n">
        <v>5791</v>
      </c>
      <c r="C23" s="18">
        <f>(5100.0/B23*100)</f>
        <v/>
      </c>
      <c r="D23" s="19" t="n">
        <v>691</v>
      </c>
      <c r="E23" s="18" t="n">
        <v>0.38108909</v>
      </c>
      <c r="F23" s="20" t="n">
        <v>0.07263267</v>
      </c>
      <c r="G23" s="18" t="n">
        <v>0.31818267</v>
      </c>
      <c r="H23" s="20" t="n">
        <v>0.04919199</v>
      </c>
      <c r="I23" s="18" t="s">
        <v>349</v>
      </c>
      <c r="J23" s="20" t="s">
        <v>349</v>
      </c>
      <c r="K23" s="18" t="n">
        <v>0.01967711</v>
      </c>
      <c r="L23" s="20" t="n">
        <v>0.01171978</v>
      </c>
      <c r="M23" s="18" t="n">
        <v>99.28105112999999</v>
      </c>
      <c r="N23" s="20" t="n">
        <v>0.08100121</v>
      </c>
      <c r="O23" s="18" t="n">
        <v>0</v>
      </c>
      <c r="P23" s="20" t="n">
        <v>0</v>
      </c>
      <c r="Q23" s="18" t="n">
        <v>0</v>
      </c>
      <c r="R23" s="20" t="n">
        <v>0</v>
      </c>
    </row>
    <row r="24" spans="1:18">
      <c r="A24" s="15" t="s">
        <v>366</v>
      </c>
      <c r="B24" s="17" t="n">
        <v>3338</v>
      </c>
      <c r="C24" s="18">
        <f>(2943.0/B24*100)</f>
        <v/>
      </c>
      <c r="D24" s="19" t="n">
        <v>395</v>
      </c>
      <c r="E24" s="18" t="n">
        <v>48.10717023</v>
      </c>
      <c r="F24" s="20" t="n">
        <v>2.85677507</v>
      </c>
      <c r="G24" s="18" t="n">
        <v>50.51110116</v>
      </c>
      <c r="H24" s="20" t="n">
        <v>2.81820143</v>
      </c>
      <c r="I24" s="18" t="s">
        <v>349</v>
      </c>
      <c r="J24" s="20" t="s">
        <v>349</v>
      </c>
      <c r="K24" s="18" t="n">
        <v>1.38172861</v>
      </c>
      <c r="L24" s="20" t="n">
        <v>0.56824089</v>
      </c>
      <c r="M24" s="18" t="n">
        <v>0</v>
      </c>
      <c r="N24" s="20" t="n">
        <v>0</v>
      </c>
      <c r="O24" s="18" t="n">
        <v>0</v>
      </c>
      <c r="P24" s="20" t="n">
        <v>0</v>
      </c>
      <c r="Q24" s="18" t="n">
        <v>0</v>
      </c>
      <c r="R24" s="20" t="n">
        <v>0</v>
      </c>
    </row>
    <row r="25" spans="1:18">
      <c r="A25" s="15" t="s">
        <v>367</v>
      </c>
      <c r="B25" s="17" t="n">
        <v>2912</v>
      </c>
      <c r="C25" s="18">
        <f>(2539.0/B25*100)</f>
        <v/>
      </c>
      <c r="D25" s="19" t="n">
        <v>373</v>
      </c>
      <c r="E25" s="18" t="n">
        <v>51.56127816</v>
      </c>
      <c r="F25" s="20" t="n">
        <v>2.84195965</v>
      </c>
      <c r="G25" s="18" t="n">
        <v>46.5208941</v>
      </c>
      <c r="H25" s="20" t="n">
        <v>2.84517747</v>
      </c>
      <c r="I25" s="18" t="s">
        <v>349</v>
      </c>
      <c r="J25" s="20" t="s">
        <v>349</v>
      </c>
      <c r="K25" s="18" t="n">
        <v>1.91782774</v>
      </c>
      <c r="L25" s="20" t="n">
        <v>0.72002429</v>
      </c>
      <c r="M25" s="18" t="n">
        <v>0</v>
      </c>
      <c r="N25" s="20" t="n">
        <v>0</v>
      </c>
      <c r="O25" s="18" t="n">
        <v>0</v>
      </c>
      <c r="P25" s="20" t="n">
        <v>0</v>
      </c>
      <c r="Q25" s="18" t="n">
        <v>0</v>
      </c>
      <c r="R25" s="20" t="n">
        <v>0</v>
      </c>
    </row>
    <row r="26" spans="1:18">
      <c r="A26" s="15" t="s">
        <v>368</v>
      </c>
      <c r="B26" s="17" t="n">
        <v>2450</v>
      </c>
      <c r="C26" s="18">
        <f>(2138.0/B26*100)</f>
        <v/>
      </c>
      <c r="D26" s="19" t="n">
        <v>312</v>
      </c>
      <c r="E26" s="18" t="n">
        <v>69.59800111</v>
      </c>
      <c r="F26" s="20" t="n">
        <v>2.62808936</v>
      </c>
      <c r="G26" s="18" t="n">
        <v>28.86127712</v>
      </c>
      <c r="H26" s="20" t="n">
        <v>2.55587915</v>
      </c>
      <c r="I26" s="18" t="s">
        <v>349</v>
      </c>
      <c r="J26" s="20" t="s">
        <v>349</v>
      </c>
      <c r="K26" s="18" t="n">
        <v>1.54072177</v>
      </c>
      <c r="L26" s="20" t="n">
        <v>0.72352723</v>
      </c>
      <c r="M26" s="18" t="n">
        <v>0</v>
      </c>
      <c r="N26" s="20" t="n">
        <v>0</v>
      </c>
      <c r="O26" s="18" t="n">
        <v>0</v>
      </c>
      <c r="P26" s="20" t="n">
        <v>0</v>
      </c>
      <c r="Q26" s="18" t="n">
        <v>0</v>
      </c>
      <c r="R26" s="20" t="n">
        <v>0</v>
      </c>
    </row>
    <row r="27" spans="1:18">
      <c r="A27" s="15" t="s">
        <v>369</v>
      </c>
      <c r="B27" s="17" t="n">
        <v>2616</v>
      </c>
      <c r="C27" s="18">
        <f>(2312.0/B27*100)</f>
        <v/>
      </c>
      <c r="D27" s="19" t="n">
        <v>304</v>
      </c>
      <c r="E27" s="18" t="n">
        <v>61.01934023</v>
      </c>
      <c r="F27" s="20" t="n">
        <v>2.82442323</v>
      </c>
      <c r="G27" s="18" t="n">
        <v>36.01780747</v>
      </c>
      <c r="H27" s="20" t="n">
        <v>2.7316213</v>
      </c>
      <c r="I27" s="18" t="s">
        <v>349</v>
      </c>
      <c r="J27" s="20" t="s">
        <v>349</v>
      </c>
      <c r="K27" s="18" t="n">
        <v>2.9628523</v>
      </c>
      <c r="L27" s="20" t="n">
        <v>0.95303232</v>
      </c>
      <c r="M27" s="18" t="n">
        <v>0</v>
      </c>
      <c r="N27" s="20" t="n">
        <v>0</v>
      </c>
      <c r="O27" s="18" t="n">
        <v>0</v>
      </c>
      <c r="P27" s="20" t="n">
        <v>0</v>
      </c>
      <c r="Q27" s="18" t="n">
        <v>0</v>
      </c>
      <c r="R27" s="20" t="n">
        <v>0</v>
      </c>
    </row>
    <row r="28" spans="1:18">
      <c r="A28" s="15" t="s">
        <v>370</v>
      </c>
      <c r="B28" s="17" t="n">
        <v>3765</v>
      </c>
      <c r="C28" s="18">
        <f>(3319.0/B28*100)</f>
        <v/>
      </c>
      <c r="D28" s="19" t="n">
        <v>446</v>
      </c>
      <c r="E28" s="18" t="n">
        <v>68.07641098000001</v>
      </c>
      <c r="F28" s="20" t="n">
        <v>2.43095474</v>
      </c>
      <c r="G28" s="18" t="n">
        <v>29.96896221</v>
      </c>
      <c r="H28" s="20" t="n">
        <v>2.50546651</v>
      </c>
      <c r="I28" s="18" t="s">
        <v>349</v>
      </c>
      <c r="J28" s="20" t="s">
        <v>349</v>
      </c>
      <c r="K28" s="18" t="n">
        <v>1.95462681</v>
      </c>
      <c r="L28" s="20" t="n">
        <v>0.86925149</v>
      </c>
      <c r="M28" s="18" t="n">
        <v>0</v>
      </c>
      <c r="N28" s="20" t="n">
        <v>0</v>
      </c>
      <c r="O28" s="18" t="n">
        <v>0</v>
      </c>
      <c r="P28" s="20" t="n">
        <v>0</v>
      </c>
      <c r="Q28" s="18" t="n">
        <v>0</v>
      </c>
      <c r="R28" s="20" t="n">
        <v>0</v>
      </c>
    </row>
    <row r="29" spans="1:18">
      <c r="A29" s="15" t="s">
        <v>371</v>
      </c>
      <c r="B29" s="17" t="n">
        <v>2685</v>
      </c>
      <c r="C29" s="18">
        <f>(2352.0/B29*100)</f>
        <v/>
      </c>
      <c r="D29" s="19" t="n">
        <v>333</v>
      </c>
      <c r="E29" s="18" t="n">
        <v>55.90245943</v>
      </c>
      <c r="F29" s="20" t="n">
        <v>2.51714945</v>
      </c>
      <c r="G29" s="18" t="n">
        <v>42.86980117</v>
      </c>
      <c r="H29" s="20" t="n">
        <v>2.57858922</v>
      </c>
      <c r="I29" s="18" t="s">
        <v>349</v>
      </c>
      <c r="J29" s="20" t="s">
        <v>349</v>
      </c>
      <c r="K29" s="18" t="n">
        <v>1.2277394</v>
      </c>
      <c r="L29" s="20" t="n">
        <v>0.60001181</v>
      </c>
      <c r="M29" s="18" t="n">
        <v>0</v>
      </c>
      <c r="N29" s="20" t="n">
        <v>0</v>
      </c>
      <c r="O29" s="18" t="n">
        <v>0</v>
      </c>
      <c r="P29" s="20" t="n">
        <v>0</v>
      </c>
      <c r="Q29" s="18" t="n">
        <v>0</v>
      </c>
      <c r="R29" s="20" t="n">
        <v>0</v>
      </c>
    </row>
    <row r="30" spans="1:18">
      <c r="A30" s="15" t="s">
        <v>372</v>
      </c>
      <c r="B30" s="17" t="n">
        <v>2263</v>
      </c>
      <c r="C30" s="18">
        <f>(2007.0/B30*100)</f>
        <v/>
      </c>
      <c r="D30" s="19" t="n">
        <v>256</v>
      </c>
      <c r="E30" s="18" t="n">
        <v>61.87479397</v>
      </c>
      <c r="F30" s="20" t="n">
        <v>3.15092514</v>
      </c>
      <c r="G30" s="18" t="n">
        <v>36.63979259</v>
      </c>
      <c r="H30" s="20" t="n">
        <v>3.19020913</v>
      </c>
      <c r="I30" s="18" t="s">
        <v>349</v>
      </c>
      <c r="J30" s="20" t="s">
        <v>349</v>
      </c>
      <c r="K30" s="18" t="n">
        <v>1.48541344</v>
      </c>
      <c r="L30" s="20" t="n">
        <v>0.71889235</v>
      </c>
      <c r="M30" s="18" t="n">
        <v>0</v>
      </c>
      <c r="N30" s="20" t="n">
        <v>0</v>
      </c>
      <c r="O30" s="18" t="n">
        <v>0</v>
      </c>
      <c r="P30" s="20" t="n">
        <v>0</v>
      </c>
      <c r="Q30" s="18" t="n">
        <v>0</v>
      </c>
      <c r="R30" s="20" t="n">
        <v>0</v>
      </c>
    </row>
    <row r="31" spans="1:18">
      <c r="A31" s="15" t="s">
        <v>373</v>
      </c>
      <c r="B31" s="17" t="n">
        <v>2750</v>
      </c>
      <c r="C31" s="18">
        <f>(2424.0/B31*100)</f>
        <v/>
      </c>
      <c r="D31" s="19" t="n">
        <v>326</v>
      </c>
      <c r="E31" s="18" t="n">
        <v>55.63417426</v>
      </c>
      <c r="F31" s="20" t="n">
        <v>2.80024333</v>
      </c>
      <c r="G31" s="18" t="n">
        <v>41.10144261</v>
      </c>
      <c r="H31" s="20" t="n">
        <v>2.7190055</v>
      </c>
      <c r="I31" s="18" t="s">
        <v>349</v>
      </c>
      <c r="J31" s="20" t="s">
        <v>349</v>
      </c>
      <c r="K31" s="18" t="n">
        <v>3.26438314</v>
      </c>
      <c r="L31" s="20" t="n">
        <v>0.90476813</v>
      </c>
      <c r="M31" s="18" t="n">
        <v>0</v>
      </c>
      <c r="N31" s="20" t="n">
        <v>0</v>
      </c>
      <c r="O31" s="18" t="n">
        <v>0</v>
      </c>
      <c r="P31" s="20" t="n">
        <v>0</v>
      </c>
      <c r="Q31" s="18" t="n">
        <v>0</v>
      </c>
      <c r="R31" s="20" t="n">
        <v>0</v>
      </c>
    </row>
    <row r="32" spans="1:18">
      <c r="A32" s="15" t="s">
        <v>374</v>
      </c>
      <c r="B32" s="17" t="n">
        <v>2269</v>
      </c>
      <c r="C32" s="18">
        <f>(1895.0/B32*100)</f>
        <v/>
      </c>
      <c r="D32" s="19" t="n">
        <v>374</v>
      </c>
      <c r="E32" s="18" t="n">
        <v>63.11385089</v>
      </c>
      <c r="F32" s="20" t="n">
        <v>2.59853016</v>
      </c>
      <c r="G32" s="18" t="n">
        <v>36.04624444</v>
      </c>
      <c r="H32" s="20" t="n">
        <v>2.6607547</v>
      </c>
      <c r="I32" s="18" t="s">
        <v>349</v>
      </c>
      <c r="J32" s="20" t="s">
        <v>349</v>
      </c>
      <c r="K32" s="18" t="n">
        <v>0.83990466</v>
      </c>
      <c r="L32" s="20" t="n">
        <v>0.50114333</v>
      </c>
      <c r="M32" s="18" t="n">
        <v>0</v>
      </c>
      <c r="N32" s="20" t="n">
        <v>0</v>
      </c>
      <c r="O32" s="18" t="n">
        <v>0</v>
      </c>
      <c r="P32" s="20" t="n">
        <v>0</v>
      </c>
      <c r="Q32" s="18" t="n">
        <v>0</v>
      </c>
      <c r="R32" s="20" t="n">
        <v>0</v>
      </c>
    </row>
    <row r="33" spans="1:18">
      <c r="A33" s="15" t="s">
        <v>375</v>
      </c>
      <c r="B33" s="17" t="n">
        <v>3674</v>
      </c>
      <c r="C33" s="18">
        <f>(3236.0/B33*100)</f>
        <v/>
      </c>
      <c r="D33" s="19" t="n">
        <v>438</v>
      </c>
      <c r="E33" s="18" t="n">
        <v>59.61035012</v>
      </c>
      <c r="F33" s="20" t="n">
        <v>2.83814803</v>
      </c>
      <c r="G33" s="18" t="n">
        <v>39.70435203</v>
      </c>
      <c r="H33" s="20" t="n">
        <v>2.86862737</v>
      </c>
      <c r="I33" s="18" t="s">
        <v>349</v>
      </c>
      <c r="J33" s="20" t="s">
        <v>349</v>
      </c>
      <c r="K33" s="18" t="n">
        <v>0.68529785</v>
      </c>
      <c r="L33" s="20" t="n">
        <v>0.47028826</v>
      </c>
      <c r="M33" s="18" t="n">
        <v>0</v>
      </c>
      <c r="N33" s="20" t="n">
        <v>0</v>
      </c>
      <c r="O33" s="18" t="n">
        <v>0</v>
      </c>
      <c r="P33" s="20" t="n">
        <v>0</v>
      </c>
      <c r="Q33" s="18" t="n">
        <v>0</v>
      </c>
      <c r="R33" s="20" t="n">
        <v>0</v>
      </c>
    </row>
    <row r="34" spans="1:18">
      <c r="A34" s="15" t="s">
        <v>376</v>
      </c>
      <c r="B34" s="17" t="n">
        <v>3315</v>
      </c>
      <c r="C34" s="18">
        <f>(2935.0/B34*100)</f>
        <v/>
      </c>
      <c r="D34" s="19" t="n">
        <v>380</v>
      </c>
      <c r="E34" s="18" t="n">
        <v>61.19693818</v>
      </c>
      <c r="F34" s="20" t="n">
        <v>2.79960339</v>
      </c>
      <c r="G34" s="18" t="n">
        <v>37.779724</v>
      </c>
      <c r="H34" s="20" t="n">
        <v>2.78259064</v>
      </c>
      <c r="I34" s="18" t="s">
        <v>349</v>
      </c>
      <c r="J34" s="20" t="s">
        <v>349</v>
      </c>
      <c r="K34" s="18" t="n">
        <v>1.02333781</v>
      </c>
      <c r="L34" s="20" t="n">
        <v>0.5320983</v>
      </c>
      <c r="M34" s="18" t="n">
        <v>0</v>
      </c>
      <c r="N34" s="20" t="n">
        <v>0</v>
      </c>
      <c r="O34" s="18" t="n">
        <v>0</v>
      </c>
      <c r="P34" s="20" t="n">
        <v>0</v>
      </c>
      <c r="Q34" s="18" t="n">
        <v>0</v>
      </c>
      <c r="R34" s="20" t="n">
        <v>0</v>
      </c>
    </row>
    <row r="35" spans="1:18">
      <c r="A35" s="15" t="s">
        <v>377</v>
      </c>
      <c r="B35" s="17" t="n">
        <v>3505</v>
      </c>
      <c r="C35" s="18">
        <f>(3100.0/B35*100)</f>
        <v/>
      </c>
      <c r="D35" s="19" t="n">
        <v>405</v>
      </c>
      <c r="E35" s="18" t="n">
        <v>63.03057462</v>
      </c>
      <c r="F35" s="20" t="n">
        <v>2.81513153</v>
      </c>
      <c r="G35" s="18" t="n">
        <v>35.46083335</v>
      </c>
      <c r="H35" s="20" t="n">
        <v>2.77578664</v>
      </c>
      <c r="I35" s="18" t="s">
        <v>349</v>
      </c>
      <c r="J35" s="20" t="s">
        <v>349</v>
      </c>
      <c r="K35" s="18" t="n">
        <v>1.50859203</v>
      </c>
      <c r="L35" s="20" t="n">
        <v>0.53610841</v>
      </c>
      <c r="M35" s="18" t="n">
        <v>0</v>
      </c>
      <c r="N35" s="20" t="n">
        <v>0</v>
      </c>
      <c r="O35" s="18" t="n">
        <v>0</v>
      </c>
      <c r="P35" s="20" t="n">
        <v>0</v>
      </c>
      <c r="Q35" s="18" t="n">
        <v>0</v>
      </c>
      <c r="R35" s="20" t="n">
        <v>0</v>
      </c>
    </row>
    <row r="36" spans="1:18">
      <c r="A36" s="15" t="s">
        <v>378</v>
      </c>
      <c r="B36" s="17" t="n">
        <v>3332</v>
      </c>
      <c r="C36" s="18">
        <f>(2945.0/B36*100)</f>
        <v/>
      </c>
      <c r="D36" s="19" t="n">
        <v>387</v>
      </c>
      <c r="E36" s="18" t="n">
        <v>57.44981966</v>
      </c>
      <c r="F36" s="20" t="n">
        <v>2.79265725</v>
      </c>
      <c r="G36" s="18" t="n">
        <v>39.58083621</v>
      </c>
      <c r="H36" s="20" t="n">
        <v>2.8356068</v>
      </c>
      <c r="I36" s="18" t="s">
        <v>349</v>
      </c>
      <c r="J36" s="20" t="s">
        <v>349</v>
      </c>
      <c r="K36" s="18" t="n">
        <v>2.96934413</v>
      </c>
      <c r="L36" s="20" t="n">
        <v>0.96657836</v>
      </c>
      <c r="M36" s="18" t="n">
        <v>0</v>
      </c>
      <c r="N36" s="20" t="n">
        <v>0</v>
      </c>
      <c r="O36" s="18" t="n">
        <v>0</v>
      </c>
      <c r="P36" s="20" t="n">
        <v>0</v>
      </c>
      <c r="Q36" s="18" t="n">
        <v>0</v>
      </c>
      <c r="R36" s="20" t="n">
        <v>0</v>
      </c>
    </row>
    <row r="37" spans="1:18">
      <c r="A37" s="15" t="s">
        <v>379</v>
      </c>
      <c r="B37" s="17" t="n">
        <v>2727</v>
      </c>
      <c r="C37" s="18">
        <f>(2409.0/B37*100)</f>
        <v/>
      </c>
      <c r="D37" s="19" t="n">
        <v>318</v>
      </c>
      <c r="E37" s="18" t="n">
        <v>54.53229178</v>
      </c>
      <c r="F37" s="20" t="n">
        <v>2.87805989</v>
      </c>
      <c r="G37" s="18" t="n">
        <v>40.71752247</v>
      </c>
      <c r="H37" s="20" t="n">
        <v>2.94653579</v>
      </c>
      <c r="I37" s="18" t="s">
        <v>349</v>
      </c>
      <c r="J37" s="20" t="s">
        <v>349</v>
      </c>
      <c r="K37" s="18" t="n">
        <v>4.75018575</v>
      </c>
      <c r="L37" s="20" t="n">
        <v>1.3233609</v>
      </c>
      <c r="M37" s="18" t="n">
        <v>0</v>
      </c>
      <c r="N37" s="20" t="n">
        <v>0</v>
      </c>
      <c r="O37" s="18" t="n">
        <v>0</v>
      </c>
      <c r="P37" s="20" t="n">
        <v>0</v>
      </c>
      <c r="Q37" s="18" t="n">
        <v>0</v>
      </c>
      <c r="R37" s="20" t="n">
        <v>0</v>
      </c>
    </row>
    <row r="38" spans="1:18">
      <c r="A38" s="15" t="s">
        <v>380</v>
      </c>
      <c r="B38" s="17" t="n">
        <v>3053</v>
      </c>
      <c r="C38" s="18">
        <f>(2528.0/B38*100)</f>
        <v/>
      </c>
      <c r="D38" s="19" t="n">
        <v>525</v>
      </c>
      <c r="E38" s="18" t="n">
        <v>51.31781522</v>
      </c>
      <c r="F38" s="20" t="n">
        <v>2.17975071</v>
      </c>
      <c r="G38" s="18" t="n">
        <v>45.5467743</v>
      </c>
      <c r="H38" s="20" t="n">
        <v>2.1365939</v>
      </c>
      <c r="I38" s="18" t="s">
        <v>349</v>
      </c>
      <c r="J38" s="20" t="s">
        <v>349</v>
      </c>
      <c r="K38" s="18" t="n">
        <v>3.13541049</v>
      </c>
      <c r="L38" s="20" t="n">
        <v>0.79659738</v>
      </c>
      <c r="M38" s="18" t="n">
        <v>0</v>
      </c>
      <c r="N38" s="20" t="n">
        <v>0</v>
      </c>
      <c r="O38" s="18" t="n">
        <v>0</v>
      </c>
      <c r="P38" s="20" t="n">
        <v>0</v>
      </c>
      <c r="Q38" s="18" t="n">
        <v>0</v>
      </c>
      <c r="R38" s="20" t="n">
        <v>0</v>
      </c>
    </row>
    <row r="39" spans="1:18">
      <c r="A39" s="15" t="s">
        <v>381</v>
      </c>
      <c r="B39" s="17" t="n">
        <v>2957</v>
      </c>
      <c r="C39" s="18">
        <f>(2588.0/B39*100)</f>
        <v/>
      </c>
      <c r="D39" s="19" t="n">
        <v>369</v>
      </c>
      <c r="E39" s="18" t="n">
        <v>67.53271386999999</v>
      </c>
      <c r="F39" s="20" t="n">
        <v>2.49056915</v>
      </c>
      <c r="G39" s="18" t="n">
        <v>30.16467725</v>
      </c>
      <c r="H39" s="20" t="n">
        <v>2.30518834</v>
      </c>
      <c r="I39" s="18" t="s">
        <v>349</v>
      </c>
      <c r="J39" s="20" t="s">
        <v>349</v>
      </c>
      <c r="K39" s="18" t="n">
        <v>2.30260888</v>
      </c>
      <c r="L39" s="20" t="n">
        <v>0.82169256</v>
      </c>
      <c r="M39" s="18" t="n">
        <v>0</v>
      </c>
      <c r="N39" s="20" t="n">
        <v>0</v>
      </c>
      <c r="O39" s="18" t="n">
        <v>0</v>
      </c>
      <c r="P39" s="20" t="n">
        <v>0</v>
      </c>
      <c r="Q39" s="18" t="n">
        <v>0</v>
      </c>
      <c r="R39" s="20" t="n">
        <v>0</v>
      </c>
    </row>
    <row r="40" spans="1:18">
      <c r="A40" s="15" t="s">
        <v>382</v>
      </c>
      <c r="B40" s="17" t="n">
        <v>7235</v>
      </c>
      <c r="C40" s="18">
        <f>(6359.0/B40*100)</f>
        <v/>
      </c>
      <c r="D40" s="19" t="n">
        <v>876</v>
      </c>
      <c r="E40" s="18" t="n">
        <v>59.46455416</v>
      </c>
      <c r="F40" s="20" t="n">
        <v>2.94028791</v>
      </c>
      <c r="G40" s="18" t="n">
        <v>38.62394111</v>
      </c>
      <c r="H40" s="20" t="n">
        <v>2.97773953</v>
      </c>
      <c r="I40" s="18" t="s">
        <v>349</v>
      </c>
      <c r="J40" s="20" t="s">
        <v>349</v>
      </c>
      <c r="K40" s="18" t="n">
        <v>1.91150473</v>
      </c>
      <c r="L40" s="20" t="n">
        <v>0.72279424</v>
      </c>
      <c r="M40" s="18" t="n">
        <v>0</v>
      </c>
      <c r="N40" s="20" t="n">
        <v>0</v>
      </c>
      <c r="O40" s="18" t="n">
        <v>0</v>
      </c>
      <c r="P40" s="20" t="n">
        <v>0</v>
      </c>
      <c r="Q40" s="18" t="n">
        <v>0</v>
      </c>
      <c r="R40" s="20" t="n">
        <v>0</v>
      </c>
    </row>
    <row r="41" spans="1:18">
      <c r="A41" s="15" t="s">
        <v>383</v>
      </c>
      <c r="B41" s="17" t="n">
        <v>2858</v>
      </c>
      <c r="C41" s="18">
        <f>(2526.0/B41*100)</f>
        <v/>
      </c>
      <c r="D41" s="19" t="n">
        <v>332</v>
      </c>
      <c r="E41" s="18" t="n">
        <v>66.7841425</v>
      </c>
      <c r="F41" s="20" t="n">
        <v>2.87116821</v>
      </c>
      <c r="G41" s="18" t="n">
        <v>31.30776341</v>
      </c>
      <c r="H41" s="20" t="n">
        <v>3.10758915</v>
      </c>
      <c r="I41" s="18" t="s">
        <v>349</v>
      </c>
      <c r="J41" s="20" t="s">
        <v>349</v>
      </c>
      <c r="K41" s="18" t="n">
        <v>1.90809409</v>
      </c>
      <c r="L41" s="20" t="n">
        <v>1.17010885</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(9999.0/B46*100)</f>
        <v/>
      </c>
      <c r="D46" s="19" t="n">
        <v>1069</v>
      </c>
      <c r="E46" s="18" t="n">
        <v>69.31797093</v>
      </c>
      <c r="F46" s="20" t="n">
        <v>2.05135969</v>
      </c>
      <c r="G46" s="18" t="n">
        <v>28.11639252</v>
      </c>
      <c r="H46" s="20" t="n">
        <v>1.96107161</v>
      </c>
      <c r="I46" s="18" t="s">
        <v>349</v>
      </c>
      <c r="J46" s="20" t="s">
        <v>349</v>
      </c>
      <c r="K46" s="18" t="n">
        <v>2.56563655</v>
      </c>
      <c r="L46" s="20" t="n">
        <v>0.58405263</v>
      </c>
      <c r="M46" s="18" t="n">
        <v>0</v>
      </c>
      <c r="N46" s="20" t="n">
        <v>0</v>
      </c>
      <c r="O46" s="18" t="n">
        <v>0</v>
      </c>
      <c r="P46" s="20" t="n">
        <v>0</v>
      </c>
      <c r="Q46" s="18" t="n">
        <v>0</v>
      </c>
      <c r="R46" s="20" t="n">
        <v>0</v>
      </c>
    </row>
    <row r="47" spans="1:18">
      <c r="A47" s="15" t="s">
        <v>389</v>
      </c>
      <c r="B47" s="17" t="n">
        <v>3105</v>
      </c>
      <c r="C47" s="18">
        <f>(2750.0/B47*100)</f>
        <v/>
      </c>
      <c r="D47" s="19" t="n">
        <v>355</v>
      </c>
      <c r="E47" s="18" t="n">
        <v>60.58446452</v>
      </c>
      <c r="F47" s="20" t="n">
        <v>2.65841473</v>
      </c>
      <c r="G47" s="18" t="n">
        <v>34.74675112</v>
      </c>
      <c r="H47" s="20" t="n">
        <v>2.7604066</v>
      </c>
      <c r="I47" s="18" t="s">
        <v>349</v>
      </c>
      <c r="J47" s="20" t="s">
        <v>349</v>
      </c>
      <c r="K47" s="18" t="n">
        <v>4.66878435</v>
      </c>
      <c r="L47" s="20" t="n">
        <v>1.06197165</v>
      </c>
      <c r="M47" s="18" t="n">
        <v>0</v>
      </c>
      <c r="N47" s="20" t="n">
        <v>0</v>
      </c>
      <c r="O47" s="18" t="n">
        <v>0</v>
      </c>
      <c r="P47" s="20" t="n">
        <v>0</v>
      </c>
      <c r="Q47" s="18" t="n">
        <v>0</v>
      </c>
      <c r="R47" s="20" t="n">
        <v>0</v>
      </c>
    </row>
    <row r="48" spans="1:18">
      <c r="A48" s="15" t="s">
        <v>390</v>
      </c>
      <c r="B48" s="17" t="n">
        <v>5159</v>
      </c>
      <c r="C48" s="18">
        <f>(4524.0/B48*100)</f>
        <v/>
      </c>
      <c r="D48" s="19" t="n">
        <v>635</v>
      </c>
      <c r="E48" s="18" t="n">
        <v>53.85374446</v>
      </c>
      <c r="F48" s="20" t="n">
        <v>2.69092901</v>
      </c>
      <c r="G48" s="18" t="n">
        <v>44.65043882</v>
      </c>
      <c r="H48" s="20" t="n">
        <v>2.76477493</v>
      </c>
      <c r="I48" s="18" t="s">
        <v>349</v>
      </c>
      <c r="J48" s="20" t="s">
        <v>349</v>
      </c>
      <c r="K48" s="18" t="n">
        <v>1.49581672</v>
      </c>
      <c r="L48" s="20" t="n">
        <v>0.5828586100000001</v>
      </c>
      <c r="M48" s="18" t="n">
        <v>0</v>
      </c>
      <c r="N48" s="20" t="n">
        <v>0</v>
      </c>
      <c r="O48" s="18" t="n">
        <v>0</v>
      </c>
      <c r="P48" s="20" t="n">
        <v>0</v>
      </c>
      <c r="Q48" s="18" t="n">
        <v>0</v>
      </c>
      <c r="R48" s="20" t="n">
        <v>0</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(4969.0/B50*100)</f>
        <v/>
      </c>
      <c r="D50" s="19" t="n">
        <v>668</v>
      </c>
      <c r="E50" s="18" t="n">
        <v>67.37183154</v>
      </c>
      <c r="F50" s="20" t="n">
        <v>2.68415384</v>
      </c>
      <c r="G50" s="18" t="n">
        <v>27.73549769</v>
      </c>
      <c r="H50" s="20" t="n">
        <v>2.53526913</v>
      </c>
      <c r="I50" s="18" t="s">
        <v>349</v>
      </c>
      <c r="J50" s="20" t="s">
        <v>349</v>
      </c>
      <c r="K50" s="18" t="n">
        <v>4.89267078</v>
      </c>
      <c r="L50" s="20" t="n">
        <v>1.28180269</v>
      </c>
      <c r="M50" s="18" t="n">
        <v>0</v>
      </c>
      <c r="N50" s="20" t="n">
        <v>0</v>
      </c>
      <c r="O50" s="18" t="n">
        <v>0</v>
      </c>
      <c r="P50" s="20" t="n">
        <v>0</v>
      </c>
      <c r="Q50" s="18" t="n">
        <v>0</v>
      </c>
      <c r="R50" s="20" t="n">
        <v>0</v>
      </c>
    </row>
    <row r="51" spans="1:18">
      <c r="A51" s="15" t="s">
        <v>393</v>
      </c>
      <c r="B51" s="17" t="n">
        <v>3372</v>
      </c>
      <c r="C51" s="18">
        <f>(3021.0/B51*100)</f>
        <v/>
      </c>
      <c r="D51" s="19" t="n">
        <v>351</v>
      </c>
      <c r="E51" s="18" t="n">
        <v>67.91585832</v>
      </c>
      <c r="F51" s="20" t="n">
        <v>2.84388594</v>
      </c>
      <c r="G51" s="18" t="n">
        <v>28.00623155</v>
      </c>
      <c r="H51" s="20" t="n">
        <v>2.59358683</v>
      </c>
      <c r="I51" s="18" t="s">
        <v>349</v>
      </c>
      <c r="J51" s="20" t="s">
        <v>349</v>
      </c>
      <c r="K51" s="18" t="n">
        <v>4.07791013</v>
      </c>
      <c r="L51" s="20" t="n">
        <v>1.12873875</v>
      </c>
      <c r="M51" s="18" t="n">
        <v>0</v>
      </c>
      <c r="N51" s="20" t="n">
        <v>0</v>
      </c>
      <c r="O51" s="18" t="n">
        <v>0</v>
      </c>
      <c r="P51" s="20" t="n">
        <v>0</v>
      </c>
      <c r="Q51" s="18" t="n">
        <v>0</v>
      </c>
      <c r="R51" s="20" t="n">
        <v>0</v>
      </c>
    </row>
    <row r="52" spans="1:18">
      <c r="A52" s="15" t="s">
        <v>394</v>
      </c>
      <c r="B52" s="17" t="n">
        <v>2796</v>
      </c>
      <c r="C52" s="18">
        <f>(2460.0/B52*100)</f>
        <v/>
      </c>
      <c r="D52" s="19" t="n">
        <v>336</v>
      </c>
      <c r="E52" s="18" t="n">
        <v>59.64090851</v>
      </c>
      <c r="F52" s="20" t="n">
        <v>2.42374865</v>
      </c>
      <c r="G52" s="18" t="n">
        <v>38.0072639</v>
      </c>
      <c r="H52" s="20" t="n">
        <v>2.49175469</v>
      </c>
      <c r="I52" s="18" t="s">
        <v>349</v>
      </c>
      <c r="J52" s="20" t="s">
        <v>349</v>
      </c>
      <c r="K52" s="18" t="n">
        <v>2.35182759</v>
      </c>
      <c r="L52" s="20" t="n">
        <v>0.75093141</v>
      </c>
      <c r="M52" s="18" t="n">
        <v>0</v>
      </c>
      <c r="N52" s="20" t="n">
        <v>0</v>
      </c>
      <c r="O52" s="18" t="n">
        <v>0</v>
      </c>
      <c r="P52" s="20" t="n">
        <v>0</v>
      </c>
      <c r="Q52" s="18" t="n">
        <v>0</v>
      </c>
      <c r="R52" s="20" t="n">
        <v>0</v>
      </c>
    </row>
    <row r="53" spans="1:18">
      <c r="A53" s="15" t="s">
        <v>395</v>
      </c>
      <c r="B53" s="17" t="n">
        <v>2811</v>
      </c>
      <c r="C53" s="18">
        <f>(2470.0/B53*100)</f>
        <v/>
      </c>
      <c r="D53" s="19" t="n">
        <v>341</v>
      </c>
      <c r="E53" s="18" t="n">
        <v>9.588573240000001</v>
      </c>
      <c r="F53" s="20" t="n">
        <v>1.67310535</v>
      </c>
      <c r="G53" s="18" t="n">
        <v>4.29276793</v>
      </c>
      <c r="H53" s="20" t="n">
        <v>1.2357582</v>
      </c>
      <c r="I53" s="18" t="s">
        <v>349</v>
      </c>
      <c r="J53" s="20" t="s">
        <v>349</v>
      </c>
      <c r="K53" s="18" t="n">
        <v>0</v>
      </c>
      <c r="L53" s="20" t="n">
        <v>0</v>
      </c>
      <c r="M53" s="18" t="n">
        <v>86.11865883</v>
      </c>
      <c r="N53" s="20" t="n">
        <v>2.03120392</v>
      </c>
      <c r="O53" s="18" t="n">
        <v>0</v>
      </c>
      <c r="P53" s="20" t="n">
        <v>0</v>
      </c>
      <c r="Q53" s="18" t="n">
        <v>0</v>
      </c>
      <c r="R53" s="20" t="n">
        <v>0</v>
      </c>
    </row>
    <row r="54" spans="1:18">
      <c r="A54" s="15" t="s">
        <v>396</v>
      </c>
      <c r="B54" s="17" t="n">
        <v>2266</v>
      </c>
      <c r="C54" s="18">
        <f>(1929.0/B54*100)</f>
        <v/>
      </c>
      <c r="D54" s="19" t="n">
        <v>337</v>
      </c>
      <c r="E54" s="18" t="n">
        <v>58.97920627</v>
      </c>
      <c r="F54" s="20" t="n">
        <v>2.98256787</v>
      </c>
      <c r="G54" s="18" t="n">
        <v>22.99881737</v>
      </c>
      <c r="H54" s="20" t="n">
        <v>2.49149669</v>
      </c>
      <c r="I54" s="18" t="s">
        <v>349</v>
      </c>
      <c r="J54" s="20" t="s">
        <v>349</v>
      </c>
      <c r="K54" s="18" t="n">
        <v>18.02197636</v>
      </c>
      <c r="L54" s="20" t="n">
        <v>2.42734797</v>
      </c>
      <c r="M54" s="18" t="n">
        <v>0</v>
      </c>
      <c r="N54" s="20" t="n">
        <v>0</v>
      </c>
      <c r="O54" s="18" t="n">
        <v>0</v>
      </c>
      <c r="P54" s="20" t="n">
        <v>0</v>
      </c>
      <c r="Q54" s="18" t="n">
        <v>0</v>
      </c>
      <c r="R54" s="20" t="n">
        <v>0</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(2350.0/B56*100)</f>
        <v/>
      </c>
      <c r="D56" s="19" t="n">
        <v>334</v>
      </c>
      <c r="E56" s="18" t="n">
        <v>52.13472933</v>
      </c>
      <c r="F56" s="20" t="n">
        <v>3.17059911</v>
      </c>
      <c r="G56" s="18" t="n">
        <v>47.22423908</v>
      </c>
      <c r="H56" s="20" t="n">
        <v>3.17824377</v>
      </c>
      <c r="I56" s="18" t="s">
        <v>349</v>
      </c>
      <c r="J56" s="20" t="s">
        <v>349</v>
      </c>
      <c r="K56" s="18" t="n">
        <v>0.64103159</v>
      </c>
      <c r="L56" s="20" t="n">
        <v>0.37474573</v>
      </c>
      <c r="M56" s="18" t="n">
        <v>0</v>
      </c>
      <c r="N56" s="20" t="n">
        <v>0</v>
      </c>
      <c r="O56" s="18" t="n">
        <v>0</v>
      </c>
      <c r="P56" s="20" t="n">
        <v>0</v>
      </c>
      <c r="Q56" s="18" t="n">
        <v>0</v>
      </c>
      <c r="R56" s="20" t="n">
        <v>0</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(2909.0/B61*100)</f>
        <v/>
      </c>
      <c r="D61" s="19" t="n">
        <v>415</v>
      </c>
      <c r="E61" s="18" t="n">
        <v>64.84871347000001</v>
      </c>
      <c r="F61" s="20" t="n">
        <v>2.57263346</v>
      </c>
      <c r="G61" s="18" t="n">
        <v>34.30628998</v>
      </c>
      <c r="H61" s="20" t="n">
        <v>2.49325436</v>
      </c>
      <c r="I61" s="18" t="s">
        <v>349</v>
      </c>
      <c r="J61" s="20" t="s">
        <v>349</v>
      </c>
      <c r="K61" s="18" t="n">
        <v>0.84499655</v>
      </c>
      <c r="L61" s="20" t="n">
        <v>0.50119779</v>
      </c>
      <c r="M61" s="18" t="n">
        <v>0</v>
      </c>
      <c r="N61" s="20" t="n">
        <v>0</v>
      </c>
      <c r="O61" s="18" t="n">
        <v>0</v>
      </c>
      <c r="P61" s="20" t="n">
        <v>0</v>
      </c>
      <c r="Q61" s="18" t="n">
        <v>0</v>
      </c>
      <c r="R61" s="20" t="n">
        <v>0</v>
      </c>
    </row>
    <row r="62" spans="1:18">
      <c r="A62" s="15" t="s">
        <v>404</v>
      </c>
      <c r="B62" s="17" t="n">
        <v>2246</v>
      </c>
      <c r="C62" s="18">
        <f>(1954.0/B62*100)</f>
        <v/>
      </c>
      <c r="D62" s="19" t="n">
        <v>292</v>
      </c>
      <c r="E62" s="18" t="n">
        <v>60.91384058</v>
      </c>
      <c r="F62" s="20" t="n">
        <v>2.50903321</v>
      </c>
      <c r="G62" s="18" t="n">
        <v>39.08615942</v>
      </c>
      <c r="H62" s="20" t="n">
        <v>2.50903321</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(2548.0/B66*100)</f>
        <v/>
      </c>
      <c r="D66" s="19" t="n">
        <v>346</v>
      </c>
      <c r="E66" s="18" t="n">
        <v>60.15210329</v>
      </c>
      <c r="F66" s="20" t="n">
        <v>2.63420492</v>
      </c>
      <c r="G66" s="18" t="n">
        <v>36.07308721</v>
      </c>
      <c r="H66" s="20" t="n">
        <v>2.66067733</v>
      </c>
      <c r="I66" s="18" t="s">
        <v>349</v>
      </c>
      <c r="J66" s="20" t="s">
        <v>349</v>
      </c>
      <c r="K66" s="18" t="n">
        <v>3.7748095</v>
      </c>
      <c r="L66" s="20" t="n">
        <v>0.8915904</v>
      </c>
      <c r="M66" s="18" t="n">
        <v>0</v>
      </c>
      <c r="N66" s="20" t="n">
        <v>0</v>
      </c>
      <c r="O66" s="18" t="n">
        <v>0</v>
      </c>
      <c r="P66" s="20" t="n">
        <v>0</v>
      </c>
      <c r="Q66" s="18" t="n">
        <v>0</v>
      </c>
      <c r="R66" s="20" t="n">
        <v>0</v>
      </c>
    </row>
    <row r="67" spans="1:18">
      <c r="A67" s="15" t="s">
        <v>409</v>
      </c>
      <c r="B67" s="17" t="n">
        <v>3511</v>
      </c>
      <c r="C67" s="18">
        <f>(3148.0/B67*100)</f>
        <v/>
      </c>
      <c r="D67" s="19" t="n">
        <v>363</v>
      </c>
      <c r="E67" s="18" t="n">
        <v>61.48810003</v>
      </c>
      <c r="F67" s="20" t="n">
        <v>2.86997609</v>
      </c>
      <c r="G67" s="18" t="n">
        <v>36.18489106</v>
      </c>
      <c r="H67" s="20" t="n">
        <v>2.84861594</v>
      </c>
      <c r="I67" s="18" t="s">
        <v>349</v>
      </c>
      <c r="J67" s="20" t="s">
        <v>349</v>
      </c>
      <c r="K67" s="18" t="n">
        <v>2.3270089</v>
      </c>
      <c r="L67" s="20" t="n">
        <v>0.83722966</v>
      </c>
      <c r="M67" s="18" t="n">
        <v>0</v>
      </c>
      <c r="N67" s="20" t="n">
        <v>0</v>
      </c>
      <c r="O67" s="18" t="n">
        <v>0</v>
      </c>
      <c r="P67" s="20" t="n">
        <v>0</v>
      </c>
      <c r="Q67" s="18" t="n">
        <v>0</v>
      </c>
      <c r="R67" s="20" t="n">
        <v>0</v>
      </c>
    </row>
    <row r="68" spans="1:18">
      <c r="A68" s="15" t="s">
        <v>410</v>
      </c>
      <c r="B68" s="17" t="n">
        <v>6049</v>
      </c>
      <c r="C68" s="18">
        <f>(5052.0/B68*100)</f>
        <v/>
      </c>
      <c r="D68" s="19" t="n">
        <v>997</v>
      </c>
      <c r="E68" s="18" t="n">
        <v>26.05848667</v>
      </c>
      <c r="F68" s="20" t="n">
        <v>1.30457963</v>
      </c>
      <c r="G68" s="18" t="n">
        <v>12.09296366</v>
      </c>
      <c r="H68" s="20" t="n">
        <v>1.05934382</v>
      </c>
      <c r="I68" s="18" t="s">
        <v>349</v>
      </c>
      <c r="J68" s="20" t="s">
        <v>349</v>
      </c>
      <c r="K68" s="18" t="n">
        <v>1.00635435</v>
      </c>
      <c r="L68" s="20" t="n">
        <v>0.28933351</v>
      </c>
      <c r="M68" s="18" t="n">
        <v>60.84219532</v>
      </c>
      <c r="N68" s="20" t="n">
        <v>1.52197855</v>
      </c>
      <c r="O68" s="18" t="n">
        <v>0</v>
      </c>
      <c r="P68" s="20" t="n">
        <v>0</v>
      </c>
      <c r="Q68" s="18" t="n">
        <v>0</v>
      </c>
      <c r="R68" s="20" t="n">
        <v>0</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(2554.0/B70*100)</f>
        <v/>
      </c>
      <c r="D70" s="19" t="n">
        <v>375</v>
      </c>
      <c r="E70" s="18" t="n">
        <v>65.60117246</v>
      </c>
      <c r="F70" s="20" t="n">
        <v>2.39406702</v>
      </c>
      <c r="G70" s="18" t="n">
        <v>33.47825555</v>
      </c>
      <c r="H70" s="20" t="n">
        <v>2.3702489</v>
      </c>
      <c r="I70" s="18" t="s">
        <v>349</v>
      </c>
      <c r="J70" s="20" t="s">
        <v>349</v>
      </c>
      <c r="K70" s="18" t="n">
        <v>0.92057199</v>
      </c>
      <c r="L70" s="20" t="n">
        <v>0.6437619</v>
      </c>
      <c r="M70" s="18" t="n">
        <v>0</v>
      </c>
      <c r="N70" s="20" t="n">
        <v>0</v>
      </c>
      <c r="O70" s="18" t="n">
        <v>0</v>
      </c>
      <c r="P70" s="20" t="n">
        <v>0</v>
      </c>
      <c r="Q70" s="18" t="n">
        <v>0</v>
      </c>
      <c r="R70" s="20" t="n">
        <v>0</v>
      </c>
    </row>
    <row r="71" spans="1:18">
      <c r="A71" s="15" t="s">
        <v>413</v>
      </c>
      <c r="B71" s="17" t="n">
        <v>3142</v>
      </c>
      <c r="C71" s="18">
        <f>(2756.0/B71*100)</f>
        <v/>
      </c>
      <c r="D71" s="19" t="n">
        <v>386</v>
      </c>
      <c r="E71" s="18" t="n">
        <v>61.42406768</v>
      </c>
      <c r="F71" s="20" t="n">
        <v>2.77885661</v>
      </c>
      <c r="G71" s="18" t="n">
        <v>38.42307762</v>
      </c>
      <c r="H71" s="20" t="n">
        <v>2.83457354</v>
      </c>
      <c r="I71" s="18" t="s">
        <v>349</v>
      </c>
      <c r="J71" s="20" t="s">
        <v>349</v>
      </c>
      <c r="K71" s="18" t="n">
        <v>0.15285469</v>
      </c>
      <c r="L71" s="20" t="n">
        <v>0.15544143</v>
      </c>
      <c r="M71" s="18" t="n">
        <v>0</v>
      </c>
      <c r="N71" s="20" t="n">
        <v>0</v>
      </c>
      <c r="O71" s="18" t="n">
        <v>0</v>
      </c>
      <c r="P71" s="20" t="n">
        <v>0</v>
      </c>
      <c r="Q71" s="18" t="n">
        <v>0</v>
      </c>
      <c r="R71" s="20" t="n">
        <v>0</v>
      </c>
    </row>
    <row r="72" spans="1:18">
      <c r="A72" s="15" t="s">
        <v>414</v>
      </c>
      <c r="B72" s="17" t="n">
        <v>3889</v>
      </c>
      <c r="C72" s="18">
        <f>(3421.0/B72*100)</f>
        <v/>
      </c>
      <c r="D72" s="19" t="n">
        <v>468</v>
      </c>
      <c r="E72" s="18" t="n">
        <v>53.14834281</v>
      </c>
      <c r="F72" s="20" t="n">
        <v>2.40890523</v>
      </c>
      <c r="G72" s="18" t="n">
        <v>46.45937104</v>
      </c>
      <c r="H72" s="20" t="n">
        <v>2.39855586</v>
      </c>
      <c r="I72" s="18" t="s">
        <v>349</v>
      </c>
      <c r="J72" s="20" t="s">
        <v>349</v>
      </c>
      <c r="K72" s="18" t="n">
        <v>0.39228614</v>
      </c>
      <c r="L72" s="20" t="n">
        <v>0.30612981</v>
      </c>
      <c r="M72" s="18" t="n">
        <v>0</v>
      </c>
      <c r="N72" s="20" t="n">
        <v>0</v>
      </c>
      <c r="O72" s="18" t="n">
        <v>0</v>
      </c>
      <c r="P72" s="20" t="n">
        <v>0</v>
      </c>
      <c r="Q72" s="18" t="n">
        <v>0</v>
      </c>
      <c r="R72" s="20" t="n">
        <v>0</v>
      </c>
    </row>
    <row r="73" spans="1:18">
      <c r="A73" s="15" t="s">
        <v>415</v>
      </c>
      <c r="B73" s="17" t="n">
        <v>3597</v>
      </c>
      <c r="C73" s="18">
        <f>(3183.0/B73*100)</f>
        <v/>
      </c>
      <c r="D73" s="19" t="n">
        <v>414</v>
      </c>
      <c r="E73" s="18" t="n">
        <v>67.09216261</v>
      </c>
      <c r="F73" s="20" t="n">
        <v>3.4013761</v>
      </c>
      <c r="G73" s="18" t="n">
        <v>32.51028441</v>
      </c>
      <c r="H73" s="20" t="n">
        <v>3.30264475</v>
      </c>
      <c r="I73" s="18" t="s">
        <v>349</v>
      </c>
      <c r="J73" s="20" t="s">
        <v>349</v>
      </c>
      <c r="K73" s="18" t="n">
        <v>0.39755298</v>
      </c>
      <c r="L73" s="20" t="n">
        <v>0.39431025</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(2148.0/B75*100)</f>
        <v/>
      </c>
      <c r="D75" s="19" t="n">
        <v>258</v>
      </c>
      <c r="E75" s="18" t="n">
        <v>52.80895022</v>
      </c>
      <c r="F75" s="20" t="n">
        <v>3.61946355</v>
      </c>
      <c r="G75" s="18" t="n">
        <v>39.77855474</v>
      </c>
      <c r="H75" s="20" t="n">
        <v>3.85054743</v>
      </c>
      <c r="I75" s="18" t="s">
        <v>349</v>
      </c>
      <c r="J75" s="20" t="s">
        <v>349</v>
      </c>
      <c r="K75" s="18" t="n">
        <v>7.41249503</v>
      </c>
      <c r="L75" s="20" t="n">
        <v>1.64130685</v>
      </c>
      <c r="M75" s="18" t="n">
        <v>0</v>
      </c>
      <c r="N75" s="20" t="n">
        <v>0</v>
      </c>
      <c r="O75" s="18" t="n">
        <v>0</v>
      </c>
      <c r="P75" s="20" t="n">
        <v>0</v>
      </c>
      <c r="Q75" s="18" t="n">
        <v>0</v>
      </c>
      <c r="R75" s="20" t="n">
        <v>0</v>
      </c>
    </row>
    <row r="76" spans="1:18">
      <c r="A76" s="15" t="s">
        <v>418</v>
      </c>
      <c r="B76" s="17" t="n">
        <v>7052</v>
      </c>
      <c r="C76" s="18">
        <f>(6189.0/B76*100)</f>
        <v/>
      </c>
      <c r="D76" s="19" t="n">
        <v>863</v>
      </c>
      <c r="E76" s="18" t="n">
        <v>64.58162688</v>
      </c>
      <c r="F76" s="20" t="n">
        <v>1.58705529</v>
      </c>
      <c r="G76" s="18" t="n">
        <v>33.21632282</v>
      </c>
      <c r="H76" s="20" t="n">
        <v>1.63982</v>
      </c>
      <c r="I76" s="18" t="s">
        <v>349</v>
      </c>
      <c r="J76" s="20" t="s">
        <v>349</v>
      </c>
      <c r="K76" s="18" t="n">
        <v>2.2020503</v>
      </c>
      <c r="L76" s="20" t="n">
        <v>0.62268064</v>
      </c>
      <c r="M76" s="18" t="n">
        <v>0</v>
      </c>
      <c r="N76" s="20" t="n">
        <v>0</v>
      </c>
      <c r="O76" s="18" t="n">
        <v>0</v>
      </c>
      <c r="P76" s="20" t="n">
        <v>0</v>
      </c>
      <c r="Q76" s="18" t="n">
        <v>0</v>
      </c>
      <c r="R76" s="20" t="n">
        <v>0</v>
      </c>
    </row>
    <row r="77" spans="1:18">
      <c r="A77" s="15" t="s">
        <v>419</v>
      </c>
      <c r="B77" s="17" t="n">
        <v>2908</v>
      </c>
      <c r="C77" s="18">
        <f>(2557.0/B77*100)</f>
        <v/>
      </c>
      <c r="D77" s="19" t="n">
        <v>351</v>
      </c>
      <c r="E77" s="18" t="n">
        <v>60.18246711</v>
      </c>
      <c r="F77" s="20" t="n">
        <v>3.22272568</v>
      </c>
      <c r="G77" s="18" t="n">
        <v>34.83452502</v>
      </c>
      <c r="H77" s="20" t="n">
        <v>3.07161722</v>
      </c>
      <c r="I77" s="18" t="s">
        <v>349</v>
      </c>
      <c r="J77" s="20" t="s">
        <v>349</v>
      </c>
      <c r="K77" s="18" t="n">
        <v>4.98300786</v>
      </c>
      <c r="L77" s="20" t="n">
        <v>1.28330302</v>
      </c>
      <c r="M77" s="18" t="n">
        <v>0</v>
      </c>
      <c r="N77" s="20" t="n">
        <v>0</v>
      </c>
      <c r="O77" s="18" t="n">
        <v>0</v>
      </c>
      <c r="P77" s="20" t="n">
        <v>0</v>
      </c>
      <c r="Q77" s="18" t="n">
        <v>0</v>
      </c>
      <c r="R77" s="20" t="n">
        <v>0</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(3662.0/B81*100)</f>
        <v/>
      </c>
      <c r="D81" s="19" t="n">
        <v>501</v>
      </c>
      <c r="E81" s="18" t="n">
        <v>69.62809218</v>
      </c>
      <c r="F81" s="20" t="n">
        <v>2.1779233</v>
      </c>
      <c r="G81" s="18" t="n">
        <v>29.86482789</v>
      </c>
      <c r="H81" s="20" t="n">
        <v>2.21963653</v>
      </c>
      <c r="I81" s="18" t="s">
        <v>349</v>
      </c>
      <c r="J81" s="20" t="s">
        <v>349</v>
      </c>
      <c r="K81" s="18" t="n">
        <v>0.50707993</v>
      </c>
      <c r="L81" s="20" t="n">
        <v>0.34682335</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(6479.0/B7*100)</f>
        <v/>
      </c>
      <c r="D7" s="19" t="n">
        <v>888</v>
      </c>
      <c r="E7" s="18" t="n">
        <v>23.41752812</v>
      </c>
      <c r="F7" s="20" t="n">
        <v>1.75397632</v>
      </c>
      <c r="G7" s="18" t="n">
        <v>75.63782547</v>
      </c>
      <c r="H7" s="20" t="n">
        <v>1.80890534</v>
      </c>
      <c r="I7" s="18" t="s">
        <v>349</v>
      </c>
      <c r="J7" s="20" t="s">
        <v>349</v>
      </c>
      <c r="K7" s="18" t="n">
        <v>0.49626507</v>
      </c>
      <c r="L7" s="20" t="n">
        <v>0.29211162</v>
      </c>
      <c r="M7" s="18" t="n">
        <v>0</v>
      </c>
      <c r="N7" s="20" t="n">
        <v>0</v>
      </c>
      <c r="O7" s="18" t="n">
        <v>0</v>
      </c>
      <c r="P7" s="20" t="n">
        <v>0</v>
      </c>
      <c r="Q7" s="18" t="n">
        <v>0.44838134</v>
      </c>
      <c r="R7" s="20" t="n">
        <v>0.25376445</v>
      </c>
    </row>
    <row r="8" spans="1:18">
      <c r="A8" s="15" t="s">
        <v>350</v>
      </c>
      <c r="B8" s="17" t="n">
        <v>3564</v>
      </c>
      <c r="C8" s="18">
        <f>(3157.0/B8*100)</f>
        <v/>
      </c>
      <c r="D8" s="19" t="n">
        <v>407</v>
      </c>
      <c r="E8" s="18" t="n">
        <v>24.32718173</v>
      </c>
      <c r="F8" s="20" t="n">
        <v>2.58292824</v>
      </c>
      <c r="G8" s="18" t="n">
        <v>74.80443117999999</v>
      </c>
      <c r="H8" s="20" t="n">
        <v>2.64800587</v>
      </c>
      <c r="I8" s="18" t="s">
        <v>349</v>
      </c>
      <c r="J8" s="20" t="s">
        <v>349</v>
      </c>
      <c r="K8" s="18" t="n">
        <v>0</v>
      </c>
      <c r="L8" s="20" t="n">
        <v>0</v>
      </c>
      <c r="M8" s="18" t="n">
        <v>0</v>
      </c>
      <c r="N8" s="20" t="n">
        <v>0</v>
      </c>
      <c r="O8" s="18" t="n">
        <v>0</v>
      </c>
      <c r="P8" s="20" t="n">
        <v>0</v>
      </c>
      <c r="Q8" s="18" t="n">
        <v>0.86838708</v>
      </c>
      <c r="R8" s="20" t="n">
        <v>0.51049735</v>
      </c>
    </row>
    <row r="9" spans="1:18">
      <c r="A9" s="15" t="s">
        <v>351</v>
      </c>
      <c r="B9" s="17" t="n">
        <v>4899</v>
      </c>
      <c r="C9" s="18">
        <f>(4310.0/B9*100)</f>
        <v/>
      </c>
      <c r="D9" s="19" t="n">
        <v>589</v>
      </c>
      <c r="E9" s="18" t="n">
        <v>15.51234142</v>
      </c>
      <c r="F9" s="20" t="n">
        <v>1.28193123</v>
      </c>
      <c r="G9" s="18" t="n">
        <v>82.71930955000001</v>
      </c>
      <c r="H9" s="20" t="n">
        <v>1.3622492</v>
      </c>
      <c r="I9" s="18" t="s">
        <v>349</v>
      </c>
      <c r="J9" s="20" t="s">
        <v>349</v>
      </c>
      <c r="K9" s="18" t="n">
        <v>0.42521132</v>
      </c>
      <c r="L9" s="20" t="n">
        <v>0.22859974</v>
      </c>
      <c r="M9" s="18" t="n">
        <v>0</v>
      </c>
      <c r="N9" s="20" t="n">
        <v>0</v>
      </c>
      <c r="O9" s="18" t="n">
        <v>0</v>
      </c>
      <c r="P9" s="20" t="n">
        <v>0</v>
      </c>
      <c r="Q9" s="18" t="n">
        <v>1.3431377</v>
      </c>
      <c r="R9" s="20" t="n">
        <v>0.52476435</v>
      </c>
    </row>
    <row r="10" spans="1:18">
      <c r="A10" s="15" t="s">
        <v>352</v>
      </c>
      <c r="B10" s="17" t="n">
        <v>10036</v>
      </c>
      <c r="C10" s="18">
        <f>(8804.0/B10*100)</f>
        <v/>
      </c>
      <c r="D10" s="19" t="n">
        <v>1232</v>
      </c>
      <c r="E10" s="18" t="n">
        <v>17.99353138</v>
      </c>
      <c r="F10" s="20" t="n">
        <v>1.29847717</v>
      </c>
      <c r="G10" s="18" t="n">
        <v>81.49911822</v>
      </c>
      <c r="H10" s="20" t="n">
        <v>1.30608561</v>
      </c>
      <c r="I10" s="18" t="s">
        <v>349</v>
      </c>
      <c r="J10" s="20" t="s">
        <v>349</v>
      </c>
      <c r="K10" s="18" t="n">
        <v>0.1288027</v>
      </c>
      <c r="L10" s="20" t="n">
        <v>0.08260123</v>
      </c>
      <c r="M10" s="18" t="n">
        <v>0</v>
      </c>
      <c r="N10" s="20" t="n">
        <v>0</v>
      </c>
      <c r="O10" s="18" t="n">
        <v>0</v>
      </c>
      <c r="P10" s="20" t="n">
        <v>0</v>
      </c>
      <c r="Q10" s="18" t="n">
        <v>0.3785477</v>
      </c>
      <c r="R10" s="20" t="n">
        <v>0.19470082</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(3061.0/B12*100)</f>
        <v/>
      </c>
      <c r="D12" s="19" t="n">
        <v>411</v>
      </c>
      <c r="E12" s="18" t="n">
        <v>19.89678512</v>
      </c>
      <c r="F12" s="20" t="n">
        <v>2.16412963</v>
      </c>
      <c r="G12" s="18" t="n">
        <v>80.10321488</v>
      </c>
      <c r="H12" s="20" t="n">
        <v>2.16412963</v>
      </c>
      <c r="I12" s="18" t="s">
        <v>349</v>
      </c>
      <c r="J12" s="20" t="s">
        <v>349</v>
      </c>
      <c r="K12" s="18" t="n">
        <v>0</v>
      </c>
      <c r="L12" s="20" t="n">
        <v>0</v>
      </c>
      <c r="M12" s="18" t="n">
        <v>0</v>
      </c>
      <c r="N12" s="20" t="n">
        <v>0</v>
      </c>
      <c r="O12" s="18" t="n">
        <v>0</v>
      </c>
      <c r="P12" s="20" t="n">
        <v>0</v>
      </c>
      <c r="Q12" s="18" t="n">
        <v>0</v>
      </c>
      <c r="R12" s="20" t="n">
        <v>0</v>
      </c>
    </row>
    <row r="13" spans="1:18">
      <c r="A13" s="15" t="s">
        <v>355</v>
      </c>
      <c r="B13" s="17" t="n">
        <v>3559</v>
      </c>
      <c r="C13" s="18">
        <f>(3138.0/B13*100)</f>
        <v/>
      </c>
      <c r="D13" s="19" t="n">
        <v>421</v>
      </c>
      <c r="E13" s="18" t="n">
        <v>20.50869688</v>
      </c>
      <c r="F13" s="20" t="n">
        <v>2.07901269</v>
      </c>
      <c r="G13" s="18" t="n">
        <v>79.03223554</v>
      </c>
      <c r="H13" s="20" t="n">
        <v>2.16401806</v>
      </c>
      <c r="I13" s="18" t="s">
        <v>349</v>
      </c>
      <c r="J13" s="20" t="s">
        <v>349</v>
      </c>
      <c r="K13" s="18" t="n">
        <v>0</v>
      </c>
      <c r="L13" s="20" t="n">
        <v>0</v>
      </c>
      <c r="M13" s="18" t="n">
        <v>0</v>
      </c>
      <c r="N13" s="20" t="n">
        <v>0</v>
      </c>
      <c r="O13" s="18" t="n">
        <v>0</v>
      </c>
      <c r="P13" s="20" t="n">
        <v>0</v>
      </c>
      <c r="Q13" s="18" t="n">
        <v>0.45906758</v>
      </c>
      <c r="R13" s="20" t="n">
        <v>0.33996422</v>
      </c>
    </row>
    <row r="14" spans="1:18">
      <c r="A14" s="15" t="s">
        <v>356</v>
      </c>
      <c r="B14" s="17" t="n">
        <v>2799</v>
      </c>
      <c r="C14" s="18">
        <f>(2420.0/B14*100)</f>
        <v/>
      </c>
      <c r="D14" s="19" t="n">
        <v>379</v>
      </c>
      <c r="E14" s="18" t="n">
        <v>23.89820528</v>
      </c>
      <c r="F14" s="20" t="n">
        <v>2.60394775</v>
      </c>
      <c r="G14" s="18" t="n">
        <v>75.68278032000001</v>
      </c>
      <c r="H14" s="20" t="n">
        <v>2.61067027</v>
      </c>
      <c r="I14" s="18" t="s">
        <v>349</v>
      </c>
      <c r="J14" s="20" t="s">
        <v>349</v>
      </c>
      <c r="K14" s="18" t="n">
        <v>0.20705778</v>
      </c>
      <c r="L14" s="20" t="n">
        <v>0.20680148</v>
      </c>
      <c r="M14" s="18" t="n">
        <v>0</v>
      </c>
      <c r="N14" s="20" t="n">
        <v>0</v>
      </c>
      <c r="O14" s="18" t="n">
        <v>0</v>
      </c>
      <c r="P14" s="20" t="n">
        <v>0</v>
      </c>
      <c r="Q14" s="18" t="n">
        <v>0.21195663</v>
      </c>
      <c r="R14" s="20" t="n">
        <v>0.21240479</v>
      </c>
    </row>
    <row r="15" spans="1:18">
      <c r="A15" s="15" t="s">
        <v>357</v>
      </c>
      <c r="B15" s="17" t="n">
        <v>3019</v>
      </c>
      <c r="C15" s="18">
        <f>(2641.0/B15*100)</f>
        <v/>
      </c>
      <c r="D15" s="19" t="n">
        <v>378</v>
      </c>
      <c r="E15" s="18" t="n">
        <v>16.32073053</v>
      </c>
      <c r="F15" s="20" t="n">
        <v>1.87789936</v>
      </c>
      <c r="G15" s="18" t="n">
        <v>82.8808853</v>
      </c>
      <c r="H15" s="20" t="n">
        <v>1.91197182</v>
      </c>
      <c r="I15" s="18" t="s">
        <v>349</v>
      </c>
      <c r="J15" s="20" t="s">
        <v>349</v>
      </c>
      <c r="K15" s="18" t="n">
        <v>0.24505686</v>
      </c>
      <c r="L15" s="20" t="n">
        <v>0.24659692</v>
      </c>
      <c r="M15" s="18" t="n">
        <v>0</v>
      </c>
      <c r="N15" s="20" t="n">
        <v>0</v>
      </c>
      <c r="O15" s="18" t="n">
        <v>0</v>
      </c>
      <c r="P15" s="20" t="n">
        <v>0</v>
      </c>
      <c r="Q15" s="18" t="n">
        <v>0.55332732</v>
      </c>
      <c r="R15" s="20" t="n">
        <v>0.40821516</v>
      </c>
    </row>
    <row r="16" spans="1:18">
      <c r="A16" s="15" t="s">
        <v>358</v>
      </c>
      <c r="B16" s="17" t="n">
        <v>2997</v>
      </c>
      <c r="C16" s="18">
        <f>(2611.0/B16*100)</f>
        <v/>
      </c>
      <c r="D16" s="19" t="n">
        <v>386</v>
      </c>
      <c r="E16" s="18" t="n">
        <v>21.78679473</v>
      </c>
      <c r="F16" s="20" t="n">
        <v>1.93778062</v>
      </c>
      <c r="G16" s="18" t="n">
        <v>77.30138341</v>
      </c>
      <c r="H16" s="20" t="n">
        <v>1.88341751</v>
      </c>
      <c r="I16" s="18" t="s">
        <v>349</v>
      </c>
      <c r="J16" s="20" t="s">
        <v>349</v>
      </c>
      <c r="K16" s="18" t="n">
        <v>0.53876131</v>
      </c>
      <c r="L16" s="20" t="n">
        <v>0.40259271</v>
      </c>
      <c r="M16" s="18" t="n">
        <v>0</v>
      </c>
      <c r="N16" s="20" t="n">
        <v>0</v>
      </c>
      <c r="O16" s="18" t="n">
        <v>0</v>
      </c>
      <c r="P16" s="20" t="n">
        <v>0</v>
      </c>
      <c r="Q16" s="18" t="n">
        <v>0.37306054</v>
      </c>
      <c r="R16" s="20" t="n">
        <v>0.37243447</v>
      </c>
    </row>
    <row r="17" spans="1:18">
      <c r="A17" s="15" t="s">
        <v>359</v>
      </c>
      <c r="B17" s="17" t="n">
        <v>3307</v>
      </c>
      <c r="C17" s="18">
        <f>(2911.0/B17*100)</f>
        <v/>
      </c>
      <c r="D17" s="19" t="n">
        <v>396</v>
      </c>
      <c r="E17" s="18" t="n">
        <v>19.33210861</v>
      </c>
      <c r="F17" s="20" t="n">
        <v>2.01474829</v>
      </c>
      <c r="G17" s="18" t="n">
        <v>79.99050285</v>
      </c>
      <c r="H17" s="20" t="n">
        <v>1.99656991</v>
      </c>
      <c r="I17" s="18" t="s">
        <v>349</v>
      </c>
      <c r="J17" s="20" t="s">
        <v>349</v>
      </c>
      <c r="K17" s="18" t="n">
        <v>0.20436296</v>
      </c>
      <c r="L17" s="20" t="n">
        <v>0.20066517</v>
      </c>
      <c r="M17" s="18" t="n">
        <v>0</v>
      </c>
      <c r="N17" s="20" t="n">
        <v>0</v>
      </c>
      <c r="O17" s="18" t="n">
        <v>0</v>
      </c>
      <c r="P17" s="20" t="n">
        <v>0</v>
      </c>
      <c r="Q17" s="18" t="n">
        <v>0.47302559</v>
      </c>
      <c r="R17" s="20" t="n">
        <v>0.33300802</v>
      </c>
    </row>
    <row r="18" spans="1:18">
      <c r="A18" s="15" t="s">
        <v>360</v>
      </c>
      <c r="B18" s="17" t="n">
        <v>2826</v>
      </c>
      <c r="C18" s="18">
        <f>(2452.0/B18*100)</f>
        <v/>
      </c>
      <c r="D18" s="19" t="n">
        <v>374</v>
      </c>
      <c r="E18" s="18" t="n">
        <v>28.76367889</v>
      </c>
      <c r="F18" s="20" t="n">
        <v>2.79568797</v>
      </c>
      <c r="G18" s="18" t="n">
        <v>70.72552173</v>
      </c>
      <c r="H18" s="20" t="n">
        <v>2.88671129</v>
      </c>
      <c r="I18" s="18" t="s">
        <v>349</v>
      </c>
      <c r="J18" s="20" t="s">
        <v>349</v>
      </c>
      <c r="K18" s="18" t="n">
        <v>0</v>
      </c>
      <c r="L18" s="20" t="n">
        <v>0</v>
      </c>
      <c r="M18" s="18" t="n">
        <v>0</v>
      </c>
      <c r="N18" s="20" t="n">
        <v>0</v>
      </c>
      <c r="O18" s="18" t="n">
        <v>0</v>
      </c>
      <c r="P18" s="20" t="n">
        <v>0</v>
      </c>
      <c r="Q18" s="18" t="n">
        <v>0.51079938</v>
      </c>
      <c r="R18" s="20" t="n">
        <v>0.35779248</v>
      </c>
    </row>
    <row r="19" spans="1:18">
      <c r="A19" s="15" t="s">
        <v>361</v>
      </c>
      <c r="B19" s="17" t="n">
        <v>2808</v>
      </c>
      <c r="C19" s="18">
        <f>(2477.0/B19*100)</f>
        <v/>
      </c>
      <c r="D19" s="19" t="n">
        <v>331</v>
      </c>
      <c r="E19" s="18" t="n">
        <v>31.29246191</v>
      </c>
      <c r="F19" s="20" t="n">
        <v>2.8083912</v>
      </c>
      <c r="G19" s="18" t="n">
        <v>68.70753809</v>
      </c>
      <c r="H19" s="20" t="n">
        <v>2.8083912</v>
      </c>
      <c r="I19" s="18" t="s">
        <v>349</v>
      </c>
      <c r="J19" s="20" t="s">
        <v>349</v>
      </c>
      <c r="K19" s="18" t="n">
        <v>0</v>
      </c>
      <c r="L19" s="20" t="n">
        <v>0</v>
      </c>
      <c r="M19" s="18" t="n">
        <v>0</v>
      </c>
      <c r="N19" s="20" t="n">
        <v>0</v>
      </c>
      <c r="O19" s="18" t="n">
        <v>0</v>
      </c>
      <c r="P19" s="20" t="n">
        <v>0</v>
      </c>
      <c r="Q19" s="18" t="n">
        <v>0</v>
      </c>
      <c r="R19" s="20" t="n">
        <v>0</v>
      </c>
    </row>
    <row r="20" spans="1:18">
      <c r="A20" s="15" t="s">
        <v>362</v>
      </c>
      <c r="B20" s="17" t="n">
        <v>1630</v>
      </c>
      <c r="C20" s="18">
        <f>(1430.0/B20*100)</f>
        <v/>
      </c>
      <c r="D20" s="19" t="n">
        <v>200</v>
      </c>
      <c r="E20" s="18" t="n">
        <v>26.41347316</v>
      </c>
      <c r="F20" s="20" t="n">
        <v>3.06281812</v>
      </c>
      <c r="G20" s="18" t="n">
        <v>71.59394426</v>
      </c>
      <c r="H20" s="20" t="n">
        <v>3.34315412</v>
      </c>
      <c r="I20" s="18" t="s">
        <v>349</v>
      </c>
      <c r="J20" s="20" t="s">
        <v>349</v>
      </c>
      <c r="K20" s="18" t="n">
        <v>0.96398713</v>
      </c>
      <c r="L20" s="20" t="n">
        <v>0.65750305</v>
      </c>
      <c r="M20" s="18" t="n">
        <v>0</v>
      </c>
      <c r="N20" s="20" t="n">
        <v>0</v>
      </c>
      <c r="O20" s="18" t="n">
        <v>0</v>
      </c>
      <c r="P20" s="20" t="n">
        <v>0</v>
      </c>
      <c r="Q20" s="18" t="n">
        <v>1.02859546</v>
      </c>
      <c r="R20" s="20" t="n">
        <v>0.62446849</v>
      </c>
    </row>
    <row r="21" spans="1:18">
      <c r="A21" s="15" t="s">
        <v>363</v>
      </c>
      <c r="B21" s="17" t="n">
        <v>2908</v>
      </c>
      <c r="C21" s="18">
        <f>(2420.0/B21*100)</f>
        <v/>
      </c>
      <c r="D21" s="19" t="n">
        <v>488</v>
      </c>
      <c r="E21" s="18" t="n">
        <v>22.4439819</v>
      </c>
      <c r="F21" s="20" t="n">
        <v>1.82349305</v>
      </c>
      <c r="G21" s="18" t="n">
        <v>77.07671164999999</v>
      </c>
      <c r="H21" s="20" t="n">
        <v>1.86901182</v>
      </c>
      <c r="I21" s="18" t="s">
        <v>349</v>
      </c>
      <c r="J21" s="20" t="s">
        <v>349</v>
      </c>
      <c r="K21" s="18" t="n">
        <v>0.3249278</v>
      </c>
      <c r="L21" s="20" t="n">
        <v>0.31325374</v>
      </c>
      <c r="M21" s="18" t="n">
        <v>0</v>
      </c>
      <c r="N21" s="20" t="n">
        <v>0</v>
      </c>
      <c r="O21" s="18" t="n">
        <v>0</v>
      </c>
      <c r="P21" s="20" t="n">
        <v>0</v>
      </c>
      <c r="Q21" s="18" t="n">
        <v>0.15437864</v>
      </c>
      <c r="R21" s="20" t="n">
        <v>0.15668057</v>
      </c>
    </row>
    <row r="22" spans="1:18">
      <c r="A22" s="15" t="s">
        <v>364</v>
      </c>
      <c r="B22" s="17" t="n">
        <v>2931</v>
      </c>
      <c r="C22" s="18">
        <f>(2567.0/B22*100)</f>
        <v/>
      </c>
      <c r="D22" s="19" t="n">
        <v>364</v>
      </c>
      <c r="E22" s="18" t="n">
        <v>20.37301854</v>
      </c>
      <c r="F22" s="20" t="n">
        <v>2.54799981</v>
      </c>
      <c r="G22" s="18" t="n">
        <v>78.66834525</v>
      </c>
      <c r="H22" s="20" t="n">
        <v>2.53719284</v>
      </c>
      <c r="I22" s="18" t="s">
        <v>349</v>
      </c>
      <c r="J22" s="20" t="s">
        <v>349</v>
      </c>
      <c r="K22" s="18" t="n">
        <v>0</v>
      </c>
      <c r="L22" s="20" t="n">
        <v>0</v>
      </c>
      <c r="M22" s="18" t="n">
        <v>0</v>
      </c>
      <c r="N22" s="20" t="n">
        <v>0</v>
      </c>
      <c r="O22" s="18" t="n">
        <v>0</v>
      </c>
      <c r="P22" s="20" t="n">
        <v>0</v>
      </c>
      <c r="Q22" s="18" t="n">
        <v>0.95863621</v>
      </c>
      <c r="R22" s="20" t="n">
        <v>0.33492328</v>
      </c>
    </row>
    <row r="23" spans="1:18">
      <c r="A23" s="15" t="s">
        <v>365</v>
      </c>
      <c r="B23" s="17" t="n">
        <v>5791</v>
      </c>
      <c r="C23" s="18">
        <f>(5092.0/B23*100)</f>
        <v/>
      </c>
      <c r="D23" s="19" t="n">
        <v>699</v>
      </c>
      <c r="E23" s="18" t="n">
        <v>24.24797744</v>
      </c>
      <c r="F23" s="20" t="n">
        <v>2.39951233</v>
      </c>
      <c r="G23" s="18" t="n">
        <v>75.05324609</v>
      </c>
      <c r="H23" s="20" t="n">
        <v>2.41853076</v>
      </c>
      <c r="I23" s="18" t="s">
        <v>349</v>
      </c>
      <c r="J23" s="20" t="s">
        <v>349</v>
      </c>
      <c r="K23" s="18" t="n">
        <v>0.27966432</v>
      </c>
      <c r="L23" s="20" t="n">
        <v>0.28266097</v>
      </c>
      <c r="M23" s="18" t="n">
        <v>0</v>
      </c>
      <c r="N23" s="20" t="n">
        <v>0</v>
      </c>
      <c r="O23" s="18" t="n">
        <v>0</v>
      </c>
      <c r="P23" s="20" t="n">
        <v>0</v>
      </c>
      <c r="Q23" s="18" t="n">
        <v>0.41911215</v>
      </c>
      <c r="R23" s="20" t="n">
        <v>0.28961877</v>
      </c>
    </row>
    <row r="24" spans="1:18">
      <c r="A24" s="15" t="s">
        <v>366</v>
      </c>
      <c r="B24" s="17" t="n">
        <v>3338</v>
      </c>
      <c r="C24" s="18">
        <f>(2916.0/B24*100)</f>
        <v/>
      </c>
      <c r="D24" s="19" t="n">
        <v>422</v>
      </c>
      <c r="E24" s="18" t="n">
        <v>14.53313502</v>
      </c>
      <c r="F24" s="20" t="n">
        <v>1.6135085</v>
      </c>
      <c r="G24" s="18" t="n">
        <v>84.73769812</v>
      </c>
      <c r="H24" s="20" t="n">
        <v>1.65493713</v>
      </c>
      <c r="I24" s="18" t="s">
        <v>349</v>
      </c>
      <c r="J24" s="20" t="s">
        <v>349</v>
      </c>
      <c r="K24" s="18" t="n">
        <v>0.24011475</v>
      </c>
      <c r="L24" s="20" t="n">
        <v>0.24017702</v>
      </c>
      <c r="M24" s="18" t="n">
        <v>0</v>
      </c>
      <c r="N24" s="20" t="n">
        <v>0</v>
      </c>
      <c r="O24" s="18" t="n">
        <v>0</v>
      </c>
      <c r="P24" s="20" t="n">
        <v>0</v>
      </c>
      <c r="Q24" s="18" t="n">
        <v>0.48905212</v>
      </c>
      <c r="R24" s="20" t="n">
        <v>0.37021762</v>
      </c>
    </row>
    <row r="25" spans="1:18">
      <c r="A25" s="15" t="s">
        <v>367</v>
      </c>
      <c r="B25" s="17" t="n">
        <v>2912</v>
      </c>
      <c r="C25" s="18">
        <f>(2542.0/B25*100)</f>
        <v/>
      </c>
      <c r="D25" s="19" t="n">
        <v>370</v>
      </c>
      <c r="E25" s="18" t="n">
        <v>20.40994112</v>
      </c>
      <c r="F25" s="20" t="n">
        <v>1.9732579</v>
      </c>
      <c r="G25" s="18" t="n">
        <v>79.34001934</v>
      </c>
      <c r="H25" s="20" t="n">
        <v>1.98175048</v>
      </c>
      <c r="I25" s="18" t="s">
        <v>349</v>
      </c>
      <c r="J25" s="20" t="s">
        <v>349</v>
      </c>
      <c r="K25" s="18" t="n">
        <v>0</v>
      </c>
      <c r="L25" s="20" t="n">
        <v>0</v>
      </c>
      <c r="M25" s="18" t="n">
        <v>0</v>
      </c>
      <c r="N25" s="20" t="n">
        <v>0</v>
      </c>
      <c r="O25" s="18" t="n">
        <v>0</v>
      </c>
      <c r="P25" s="20" t="n">
        <v>0</v>
      </c>
      <c r="Q25" s="18" t="n">
        <v>0.25003954</v>
      </c>
      <c r="R25" s="20" t="n">
        <v>0.24901116</v>
      </c>
    </row>
    <row r="26" spans="1:18">
      <c r="A26" s="15" t="s">
        <v>368</v>
      </c>
      <c r="B26" s="17" t="n">
        <v>2450</v>
      </c>
      <c r="C26" s="18">
        <f>(2162.0/B26*100)</f>
        <v/>
      </c>
      <c r="D26" s="19" t="n">
        <v>288</v>
      </c>
      <c r="E26" s="18" t="n">
        <v>24.3401103</v>
      </c>
      <c r="F26" s="20" t="n">
        <v>2.81692044</v>
      </c>
      <c r="G26" s="18" t="n">
        <v>74.98787199</v>
      </c>
      <c r="H26" s="20" t="n">
        <v>2.88555094</v>
      </c>
      <c r="I26" s="18" t="s">
        <v>349</v>
      </c>
      <c r="J26" s="20" t="s">
        <v>349</v>
      </c>
      <c r="K26" s="18" t="n">
        <v>0</v>
      </c>
      <c r="L26" s="20" t="n">
        <v>0</v>
      </c>
      <c r="M26" s="18" t="n">
        <v>0</v>
      </c>
      <c r="N26" s="20" t="n">
        <v>0</v>
      </c>
      <c r="O26" s="18" t="n">
        <v>0</v>
      </c>
      <c r="P26" s="20" t="n">
        <v>0</v>
      </c>
      <c r="Q26" s="18" t="n">
        <v>0.67201771</v>
      </c>
      <c r="R26" s="20" t="n">
        <v>0.69518773</v>
      </c>
    </row>
    <row r="27" spans="1:18">
      <c r="A27" s="15" t="s">
        <v>369</v>
      </c>
      <c r="B27" s="17" t="n">
        <v>2616</v>
      </c>
      <c r="C27" s="18">
        <f>(2292.0/B27*100)</f>
        <v/>
      </c>
      <c r="D27" s="19" t="n">
        <v>324</v>
      </c>
      <c r="E27" s="18" t="n">
        <v>20.44106399</v>
      </c>
      <c r="F27" s="20" t="n">
        <v>2.38875088</v>
      </c>
      <c r="G27" s="18" t="n">
        <v>78.26007147999999</v>
      </c>
      <c r="H27" s="20" t="n">
        <v>2.40306671</v>
      </c>
      <c r="I27" s="18" t="s">
        <v>349</v>
      </c>
      <c r="J27" s="20" t="s">
        <v>349</v>
      </c>
      <c r="K27" s="18" t="n">
        <v>0.31492604</v>
      </c>
      <c r="L27" s="20" t="n">
        <v>0.31259737</v>
      </c>
      <c r="M27" s="18" t="n">
        <v>0</v>
      </c>
      <c r="N27" s="20" t="n">
        <v>0</v>
      </c>
      <c r="O27" s="18" t="n">
        <v>0</v>
      </c>
      <c r="P27" s="20" t="n">
        <v>0</v>
      </c>
      <c r="Q27" s="18" t="n">
        <v>0.98393849</v>
      </c>
      <c r="R27" s="20" t="n">
        <v>0.32349305</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(2347.0/B29*100)</f>
        <v/>
      </c>
      <c r="D29" s="19" t="n">
        <v>338</v>
      </c>
      <c r="E29" s="18" t="n">
        <v>17.69086932</v>
      </c>
      <c r="F29" s="20" t="n">
        <v>2.24431286</v>
      </c>
      <c r="G29" s="18" t="n">
        <v>81.42722187</v>
      </c>
      <c r="H29" s="20" t="n">
        <v>2.308015</v>
      </c>
      <c r="I29" s="18" t="s">
        <v>349</v>
      </c>
      <c r="J29" s="20" t="s">
        <v>349</v>
      </c>
      <c r="K29" s="18" t="n">
        <v>0.5860457100000001</v>
      </c>
      <c r="L29" s="20" t="n">
        <v>0.4271295</v>
      </c>
      <c r="M29" s="18" t="n">
        <v>0</v>
      </c>
      <c r="N29" s="20" t="n">
        <v>0</v>
      </c>
      <c r="O29" s="18" t="n">
        <v>0</v>
      </c>
      <c r="P29" s="20" t="n">
        <v>0</v>
      </c>
      <c r="Q29" s="18" t="n">
        <v>0.2958631</v>
      </c>
      <c r="R29" s="20" t="n">
        <v>0.29258987</v>
      </c>
    </row>
    <row r="30" spans="1:18">
      <c r="A30" s="15" t="s">
        <v>372</v>
      </c>
      <c r="B30" s="17" t="n">
        <v>2263</v>
      </c>
      <c r="C30" s="18">
        <f>(2007.0/B30*100)</f>
        <v/>
      </c>
      <c r="D30" s="19" t="n">
        <v>256</v>
      </c>
      <c r="E30" s="18" t="n">
        <v>22.26925614</v>
      </c>
      <c r="F30" s="20" t="n">
        <v>2.24225597</v>
      </c>
      <c r="G30" s="18" t="n">
        <v>77.39062914</v>
      </c>
      <c r="H30" s="20" t="n">
        <v>2.2903644</v>
      </c>
      <c r="I30" s="18" t="s">
        <v>349</v>
      </c>
      <c r="J30" s="20" t="s">
        <v>349</v>
      </c>
      <c r="K30" s="18" t="n">
        <v>0</v>
      </c>
      <c r="L30" s="20" t="n">
        <v>0</v>
      </c>
      <c r="M30" s="18" t="n">
        <v>0</v>
      </c>
      <c r="N30" s="20" t="n">
        <v>0</v>
      </c>
      <c r="O30" s="18" t="n">
        <v>0</v>
      </c>
      <c r="P30" s="20" t="n">
        <v>0</v>
      </c>
      <c r="Q30" s="18" t="n">
        <v>0.34011473</v>
      </c>
      <c r="R30" s="20" t="n">
        <v>0.33749101</v>
      </c>
    </row>
    <row r="31" spans="1:18">
      <c r="A31" s="15" t="s">
        <v>373</v>
      </c>
      <c r="B31" s="17" t="n">
        <v>2750</v>
      </c>
      <c r="C31" s="18">
        <f>(2392.0/B31*100)</f>
        <v/>
      </c>
      <c r="D31" s="19" t="n">
        <v>358</v>
      </c>
      <c r="E31" s="18" t="n">
        <v>19.46749712</v>
      </c>
      <c r="F31" s="20" t="n">
        <v>2.04201782</v>
      </c>
      <c r="G31" s="18" t="n">
        <v>79.72454951</v>
      </c>
      <c r="H31" s="20" t="n">
        <v>2.04933555</v>
      </c>
      <c r="I31" s="18" t="s">
        <v>349</v>
      </c>
      <c r="J31" s="20" t="s">
        <v>349</v>
      </c>
      <c r="K31" s="18" t="n">
        <v>0.55165516</v>
      </c>
      <c r="L31" s="20" t="n">
        <v>0.39633827</v>
      </c>
      <c r="M31" s="18" t="n">
        <v>0</v>
      </c>
      <c r="N31" s="20" t="n">
        <v>0</v>
      </c>
      <c r="O31" s="18" t="n">
        <v>0</v>
      </c>
      <c r="P31" s="20" t="n">
        <v>0</v>
      </c>
      <c r="Q31" s="18" t="n">
        <v>0.2562982</v>
      </c>
      <c r="R31" s="20" t="n">
        <v>0.24736152</v>
      </c>
    </row>
    <row r="32" spans="1:18">
      <c r="A32" s="15" t="s">
        <v>374</v>
      </c>
      <c r="B32" s="17" t="n">
        <v>2269</v>
      </c>
      <c r="C32" s="18">
        <f>(1892.0/B32*100)</f>
        <v/>
      </c>
      <c r="D32" s="19" t="n">
        <v>377</v>
      </c>
      <c r="E32" s="18" t="n">
        <v>25.95432994</v>
      </c>
      <c r="F32" s="20" t="n">
        <v>2.31839364</v>
      </c>
      <c r="G32" s="18" t="n">
        <v>73.11961363</v>
      </c>
      <c r="H32" s="20" t="n">
        <v>2.33699514</v>
      </c>
      <c r="I32" s="18" t="s">
        <v>349</v>
      </c>
      <c r="J32" s="20" t="s">
        <v>349</v>
      </c>
      <c r="K32" s="18" t="n">
        <v>0.5250977100000001</v>
      </c>
      <c r="L32" s="20" t="n">
        <v>0.34290564</v>
      </c>
      <c r="M32" s="18" t="n">
        <v>0</v>
      </c>
      <c r="N32" s="20" t="n">
        <v>0</v>
      </c>
      <c r="O32" s="18" t="n">
        <v>0</v>
      </c>
      <c r="P32" s="20" t="n">
        <v>0</v>
      </c>
      <c r="Q32" s="18" t="n">
        <v>0.40095872</v>
      </c>
      <c r="R32" s="20" t="n">
        <v>0.3645411</v>
      </c>
    </row>
    <row r="33" spans="1:18">
      <c r="A33" s="15" t="s">
        <v>375</v>
      </c>
      <c r="B33" s="17" t="n">
        <v>3674</v>
      </c>
      <c r="C33" s="18">
        <f>(3237.0/B33*100)</f>
        <v/>
      </c>
      <c r="D33" s="19" t="n">
        <v>437</v>
      </c>
      <c r="E33" s="18" t="n">
        <v>23.51555987</v>
      </c>
      <c r="F33" s="20" t="n">
        <v>2.62148451</v>
      </c>
      <c r="G33" s="18" t="n">
        <v>76.17909894</v>
      </c>
      <c r="H33" s="20" t="n">
        <v>2.61269016</v>
      </c>
      <c r="I33" s="18" t="s">
        <v>349</v>
      </c>
      <c r="J33" s="20" t="s">
        <v>349</v>
      </c>
      <c r="K33" s="18" t="n">
        <v>0</v>
      </c>
      <c r="L33" s="20" t="n">
        <v>0</v>
      </c>
      <c r="M33" s="18" t="n">
        <v>0</v>
      </c>
      <c r="N33" s="20" t="n">
        <v>0</v>
      </c>
      <c r="O33" s="18" t="n">
        <v>0</v>
      </c>
      <c r="P33" s="20" t="n">
        <v>0</v>
      </c>
      <c r="Q33" s="18" t="n">
        <v>0.30534119</v>
      </c>
      <c r="R33" s="20" t="n">
        <v>0.35823668</v>
      </c>
    </row>
    <row r="34" spans="1:18">
      <c r="A34" s="15" t="s">
        <v>376</v>
      </c>
      <c r="B34" s="17" t="n">
        <v>3315</v>
      </c>
      <c r="C34" s="18">
        <f>(2940.0/B34*100)</f>
        <v/>
      </c>
      <c r="D34" s="19" t="n">
        <v>375</v>
      </c>
      <c r="E34" s="18" t="n">
        <v>27.80585859</v>
      </c>
      <c r="F34" s="20" t="n">
        <v>2.42845646</v>
      </c>
      <c r="G34" s="18" t="n">
        <v>71.76023359</v>
      </c>
      <c r="H34" s="20" t="n">
        <v>2.44539475</v>
      </c>
      <c r="I34" s="18" t="s">
        <v>349</v>
      </c>
      <c r="J34" s="20" t="s">
        <v>349</v>
      </c>
      <c r="K34" s="18" t="n">
        <v>0.21438955</v>
      </c>
      <c r="L34" s="20" t="n">
        <v>0.21285548</v>
      </c>
      <c r="M34" s="18" t="n">
        <v>0</v>
      </c>
      <c r="N34" s="20" t="n">
        <v>0</v>
      </c>
      <c r="O34" s="18" t="n">
        <v>0</v>
      </c>
      <c r="P34" s="20" t="n">
        <v>0</v>
      </c>
      <c r="Q34" s="18" t="n">
        <v>0.21951827</v>
      </c>
      <c r="R34" s="20" t="n">
        <v>0.22064947</v>
      </c>
    </row>
    <row r="35" spans="1:18">
      <c r="A35" s="15" t="s">
        <v>377</v>
      </c>
      <c r="B35" s="17" t="n">
        <v>3505</v>
      </c>
      <c r="C35" s="18">
        <f>(3075.0/B35*100)</f>
        <v/>
      </c>
      <c r="D35" s="19" t="n">
        <v>430</v>
      </c>
      <c r="E35" s="18" t="n">
        <v>19.0500171</v>
      </c>
      <c r="F35" s="20" t="n">
        <v>1.88792262</v>
      </c>
      <c r="G35" s="18" t="n">
        <v>80.32410453</v>
      </c>
      <c r="H35" s="20" t="n">
        <v>1.91176442</v>
      </c>
      <c r="I35" s="18" t="s">
        <v>349</v>
      </c>
      <c r="J35" s="20" t="s">
        <v>349</v>
      </c>
      <c r="K35" s="18" t="n">
        <v>0.11409523</v>
      </c>
      <c r="L35" s="20" t="n">
        <v>0.11528958</v>
      </c>
      <c r="M35" s="18" t="n">
        <v>0</v>
      </c>
      <c r="N35" s="20" t="n">
        <v>0</v>
      </c>
      <c r="O35" s="18" t="n">
        <v>0</v>
      </c>
      <c r="P35" s="20" t="n">
        <v>0</v>
      </c>
      <c r="Q35" s="18" t="n">
        <v>0.51178314</v>
      </c>
      <c r="R35" s="20" t="n">
        <v>0.2650807</v>
      </c>
    </row>
    <row r="36" spans="1:18">
      <c r="A36" s="15" t="s">
        <v>378</v>
      </c>
      <c r="B36" s="17" t="n">
        <v>3332</v>
      </c>
      <c r="C36" s="18">
        <f>(2927.0/B36*100)</f>
        <v/>
      </c>
      <c r="D36" s="19" t="n">
        <v>405</v>
      </c>
      <c r="E36" s="18" t="n">
        <v>17.95972377</v>
      </c>
      <c r="F36" s="20" t="n">
        <v>1.88156109</v>
      </c>
      <c r="G36" s="18" t="n">
        <v>80.76010271</v>
      </c>
      <c r="H36" s="20" t="n">
        <v>2.03718504</v>
      </c>
      <c r="I36" s="18" t="s">
        <v>349</v>
      </c>
      <c r="J36" s="20" t="s">
        <v>349</v>
      </c>
      <c r="K36" s="18" t="n">
        <v>0</v>
      </c>
      <c r="L36" s="20" t="n">
        <v>0</v>
      </c>
      <c r="M36" s="18" t="n">
        <v>0</v>
      </c>
      <c r="N36" s="20" t="n">
        <v>0</v>
      </c>
      <c r="O36" s="18" t="n">
        <v>0</v>
      </c>
      <c r="P36" s="20" t="n">
        <v>0</v>
      </c>
      <c r="Q36" s="18" t="n">
        <v>1.28017351</v>
      </c>
      <c r="R36" s="20" t="n">
        <v>0.5748636499999999</v>
      </c>
    </row>
    <row r="37" spans="1:18">
      <c r="A37" s="15" t="s">
        <v>379</v>
      </c>
      <c r="B37" s="17" t="n">
        <v>2727</v>
      </c>
      <c r="C37" s="18">
        <f>(2401.0/B37*100)</f>
        <v/>
      </c>
      <c r="D37" s="19" t="n">
        <v>326</v>
      </c>
      <c r="E37" s="18" t="n">
        <v>20.73011182</v>
      </c>
      <c r="F37" s="20" t="n">
        <v>2.32876568</v>
      </c>
      <c r="G37" s="18" t="n">
        <v>76.77393024</v>
      </c>
      <c r="H37" s="20" t="n">
        <v>2.44964585</v>
      </c>
      <c r="I37" s="18" t="s">
        <v>349</v>
      </c>
      <c r="J37" s="20" t="s">
        <v>349</v>
      </c>
      <c r="K37" s="18" t="n">
        <v>0.7199049</v>
      </c>
      <c r="L37" s="20" t="n">
        <v>0.55378871</v>
      </c>
      <c r="M37" s="18" t="n">
        <v>0</v>
      </c>
      <c r="N37" s="20" t="n">
        <v>0</v>
      </c>
      <c r="O37" s="18" t="n">
        <v>0</v>
      </c>
      <c r="P37" s="20" t="n">
        <v>0</v>
      </c>
      <c r="Q37" s="18" t="n">
        <v>1.77605304</v>
      </c>
      <c r="R37" s="20" t="n">
        <v>0.72537116</v>
      </c>
    </row>
    <row r="38" spans="1:18">
      <c r="A38" s="15" t="s">
        <v>380</v>
      </c>
      <c r="B38" s="17" t="n">
        <v>3053</v>
      </c>
      <c r="C38" s="18">
        <f>(2551.0/B38*100)</f>
        <v/>
      </c>
      <c r="D38" s="19" t="n">
        <v>502</v>
      </c>
      <c r="E38" s="18" t="n">
        <v>20.86484534</v>
      </c>
      <c r="F38" s="20" t="n">
        <v>1.84991943</v>
      </c>
      <c r="G38" s="18" t="n">
        <v>78.16962884</v>
      </c>
      <c r="H38" s="20" t="n">
        <v>1.89932131</v>
      </c>
      <c r="I38" s="18" t="s">
        <v>349</v>
      </c>
      <c r="J38" s="20" t="s">
        <v>349</v>
      </c>
      <c r="K38" s="18" t="n">
        <v>0.20512514</v>
      </c>
      <c r="L38" s="20" t="n">
        <v>0.18353822</v>
      </c>
      <c r="M38" s="18" t="n">
        <v>0</v>
      </c>
      <c r="N38" s="20" t="n">
        <v>0</v>
      </c>
      <c r="O38" s="18" t="n">
        <v>0</v>
      </c>
      <c r="P38" s="20" t="n">
        <v>0</v>
      </c>
      <c r="Q38" s="18" t="n">
        <v>0.76040067</v>
      </c>
      <c r="R38" s="20" t="n">
        <v>0.40687098</v>
      </c>
    </row>
    <row r="39" spans="1:18">
      <c r="A39" s="15" t="s">
        <v>381</v>
      </c>
      <c r="B39" s="17" t="n">
        <v>2957</v>
      </c>
      <c r="C39" s="18">
        <f>(2581.0/B39*100)</f>
        <v/>
      </c>
      <c r="D39" s="19" t="n">
        <v>376</v>
      </c>
      <c r="E39" s="18" t="n">
        <v>38.82961618</v>
      </c>
      <c r="F39" s="20" t="n">
        <v>2.93835153</v>
      </c>
      <c r="G39" s="18" t="n">
        <v>59.87123858</v>
      </c>
      <c r="H39" s="20" t="n">
        <v>3.05262016</v>
      </c>
      <c r="I39" s="18" t="s">
        <v>349</v>
      </c>
      <c r="J39" s="20" t="s">
        <v>349</v>
      </c>
      <c r="K39" s="18" t="n">
        <v>0</v>
      </c>
      <c r="L39" s="20" t="n">
        <v>0</v>
      </c>
      <c r="M39" s="18" t="n">
        <v>0</v>
      </c>
      <c r="N39" s="20" t="n">
        <v>0</v>
      </c>
      <c r="O39" s="18" t="n">
        <v>0</v>
      </c>
      <c r="P39" s="20" t="n">
        <v>0</v>
      </c>
      <c r="Q39" s="18" t="n">
        <v>1.29914524</v>
      </c>
      <c r="R39" s="20" t="n">
        <v>0.695661</v>
      </c>
    </row>
    <row r="40" spans="1:18">
      <c r="A40" s="15" t="s">
        <v>382</v>
      </c>
      <c r="B40" s="17" t="n">
        <v>7235</v>
      </c>
      <c r="C40" s="18">
        <f>(6370.0/B40*100)</f>
        <v/>
      </c>
      <c r="D40" s="19" t="n">
        <v>865</v>
      </c>
      <c r="E40" s="18" t="n">
        <v>24.47455052</v>
      </c>
      <c r="F40" s="20" t="n">
        <v>2.23324553</v>
      </c>
      <c r="G40" s="18" t="n">
        <v>74.99050593</v>
      </c>
      <c r="H40" s="20" t="n">
        <v>2.20432097</v>
      </c>
      <c r="I40" s="18" t="s">
        <v>349</v>
      </c>
      <c r="J40" s="20" t="s">
        <v>349</v>
      </c>
      <c r="K40" s="18" t="n">
        <v>0.30013619</v>
      </c>
      <c r="L40" s="20" t="n">
        <v>0.27136994</v>
      </c>
      <c r="M40" s="18" t="n">
        <v>0</v>
      </c>
      <c r="N40" s="20" t="n">
        <v>0</v>
      </c>
      <c r="O40" s="18" t="n">
        <v>0</v>
      </c>
      <c r="P40" s="20" t="n">
        <v>0</v>
      </c>
      <c r="Q40" s="18" t="n">
        <v>0.23480736</v>
      </c>
      <c r="R40" s="20" t="n">
        <v>0.10624725</v>
      </c>
    </row>
    <row r="41" spans="1:18">
      <c r="A41" s="15" t="s">
        <v>383</v>
      </c>
      <c r="B41" s="17" t="n">
        <v>2858</v>
      </c>
      <c r="C41" s="18">
        <f>(2533.0/B41*100)</f>
        <v/>
      </c>
      <c r="D41" s="19" t="n">
        <v>325</v>
      </c>
      <c r="E41" s="18" t="n">
        <v>26.43425999</v>
      </c>
      <c r="F41" s="20" t="n">
        <v>2.58081476</v>
      </c>
      <c r="G41" s="18" t="n">
        <v>73.22893882</v>
      </c>
      <c r="H41" s="20" t="n">
        <v>2.59080943</v>
      </c>
      <c r="I41" s="18" t="s">
        <v>349</v>
      </c>
      <c r="J41" s="20" t="s">
        <v>349</v>
      </c>
      <c r="K41" s="18" t="n">
        <v>0</v>
      </c>
      <c r="L41" s="20" t="n">
        <v>0</v>
      </c>
      <c r="M41" s="18" t="n">
        <v>0</v>
      </c>
      <c r="N41" s="20" t="n">
        <v>0</v>
      </c>
      <c r="O41" s="18" t="n">
        <v>0</v>
      </c>
      <c r="P41" s="20" t="n">
        <v>0</v>
      </c>
      <c r="Q41" s="18" t="n">
        <v>0.33680119</v>
      </c>
      <c r="R41" s="20" t="n">
        <v>0.30779356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(4507.0/B48*100)</f>
        <v/>
      </c>
      <c r="D48" s="19" t="n">
        <v>652</v>
      </c>
      <c r="E48" s="18" t="n">
        <v>22.42358182</v>
      </c>
      <c r="F48" s="20" t="n">
        <v>1.98688123</v>
      </c>
      <c r="G48" s="18" t="n">
        <v>77.14969105</v>
      </c>
      <c r="H48" s="20" t="n">
        <v>2.03382724</v>
      </c>
      <c r="I48" s="18" t="s">
        <v>349</v>
      </c>
      <c r="J48" s="20" t="s">
        <v>349</v>
      </c>
      <c r="K48" s="18" t="n">
        <v>0.21824391</v>
      </c>
      <c r="L48" s="20" t="n">
        <v>0.20665974</v>
      </c>
      <c r="M48" s="18" t="n">
        <v>0</v>
      </c>
      <c r="N48" s="20" t="n">
        <v>0</v>
      </c>
      <c r="O48" s="18" t="n">
        <v>0</v>
      </c>
      <c r="P48" s="20" t="n">
        <v>0</v>
      </c>
      <c r="Q48" s="18" t="n">
        <v>0.20848321</v>
      </c>
      <c r="R48" s="20" t="n">
        <v>0.20111235</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(2465.0/B52*100)</f>
        <v/>
      </c>
      <c r="D52" s="19" t="n">
        <v>331</v>
      </c>
      <c r="E52" s="18" t="n">
        <v>22.89959445</v>
      </c>
      <c r="F52" s="20" t="n">
        <v>2.10630699</v>
      </c>
      <c r="G52" s="18" t="n">
        <v>75.83052985</v>
      </c>
      <c r="H52" s="20" t="n">
        <v>2.18462605</v>
      </c>
      <c r="I52" s="18" t="s">
        <v>349</v>
      </c>
      <c r="J52" s="20" t="s">
        <v>349</v>
      </c>
      <c r="K52" s="18" t="n">
        <v>0.31693648</v>
      </c>
      <c r="L52" s="20" t="n">
        <v>0.31555302</v>
      </c>
      <c r="M52" s="18" t="n">
        <v>0</v>
      </c>
      <c r="N52" s="20" t="n">
        <v>0</v>
      </c>
      <c r="O52" s="18" t="n">
        <v>0</v>
      </c>
      <c r="P52" s="20" t="n">
        <v>0</v>
      </c>
      <c r="Q52" s="18" t="n">
        <v>0.95293922</v>
      </c>
      <c r="R52" s="20" t="n">
        <v>0.56394932</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24.12867373</v>
      </c>
      <c r="F56" s="20" t="n">
        <v>2.62446073</v>
      </c>
      <c r="G56" s="18" t="n">
        <v>75.62518386000001</v>
      </c>
      <c r="H56" s="20" t="n">
        <v>2.68517828</v>
      </c>
      <c r="I56" s="18" t="s">
        <v>349</v>
      </c>
      <c r="J56" s="20" t="s">
        <v>349</v>
      </c>
      <c r="K56" s="18" t="n">
        <v>0</v>
      </c>
      <c r="L56" s="20" t="n">
        <v>0</v>
      </c>
      <c r="M56" s="18" t="n">
        <v>0</v>
      </c>
      <c r="N56" s="20" t="n">
        <v>0</v>
      </c>
      <c r="O56" s="18" t="n">
        <v>0</v>
      </c>
      <c r="P56" s="20" t="n">
        <v>0</v>
      </c>
      <c r="Q56" s="18" t="n">
        <v>0.24614241</v>
      </c>
      <c r="R56" s="20" t="n">
        <v>0.24668005</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(2888.0/B61*100)</f>
        <v/>
      </c>
      <c r="D61" s="19" t="n">
        <v>436</v>
      </c>
      <c r="E61" s="18" t="n">
        <v>27.46954244</v>
      </c>
      <c r="F61" s="20" t="n">
        <v>2.11653252</v>
      </c>
      <c r="G61" s="18" t="n">
        <v>72.2649986</v>
      </c>
      <c r="H61" s="20" t="n">
        <v>2.0733657</v>
      </c>
      <c r="I61" s="18" t="s">
        <v>349</v>
      </c>
      <c r="J61" s="20" t="s">
        <v>349</v>
      </c>
      <c r="K61" s="18" t="n">
        <v>0</v>
      </c>
      <c r="L61" s="20" t="n">
        <v>0</v>
      </c>
      <c r="M61" s="18" t="n">
        <v>0</v>
      </c>
      <c r="N61" s="20" t="n">
        <v>0</v>
      </c>
      <c r="O61" s="18" t="n">
        <v>0</v>
      </c>
      <c r="P61" s="20" t="n">
        <v>0</v>
      </c>
      <c r="Q61" s="18" t="n">
        <v>0.26545896</v>
      </c>
      <c r="R61" s="20" t="n">
        <v>0.30296483</v>
      </c>
    </row>
    <row r="62" spans="1:18">
      <c r="A62" s="15" t="s">
        <v>404</v>
      </c>
      <c r="B62" s="17" t="n">
        <v>2246</v>
      </c>
      <c r="C62" s="18">
        <f>(1969.0/B62*100)</f>
        <v/>
      </c>
      <c r="D62" s="19" t="n">
        <v>277</v>
      </c>
      <c r="E62" s="18" t="n">
        <v>20.27010358</v>
      </c>
      <c r="F62" s="20" t="n">
        <v>2.59215168</v>
      </c>
      <c r="G62" s="18" t="n">
        <v>79.72989642</v>
      </c>
      <c r="H62" s="20" t="n">
        <v>2.59215168</v>
      </c>
      <c r="I62" s="18" t="s">
        <v>349</v>
      </c>
      <c r="J62" s="20" t="s">
        <v>349</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(2528.0/B66*100)</f>
        <v/>
      </c>
      <c r="D66" s="19" t="n">
        <v>366</v>
      </c>
      <c r="E66" s="18" t="n">
        <v>35.21252211</v>
      </c>
      <c r="F66" s="20" t="n">
        <v>2.69446163</v>
      </c>
      <c r="G66" s="18" t="n">
        <v>62.03454251</v>
      </c>
      <c r="H66" s="20" t="n">
        <v>2.71943245</v>
      </c>
      <c r="I66" s="18" t="s">
        <v>349</v>
      </c>
      <c r="J66" s="20" t="s">
        <v>349</v>
      </c>
      <c r="K66" s="18" t="n">
        <v>0.72093092</v>
      </c>
      <c r="L66" s="20" t="n">
        <v>0.4215658</v>
      </c>
      <c r="M66" s="18" t="n">
        <v>0</v>
      </c>
      <c r="N66" s="20" t="n">
        <v>0</v>
      </c>
      <c r="O66" s="18" t="n">
        <v>0</v>
      </c>
      <c r="P66" s="20" t="n">
        <v>0</v>
      </c>
      <c r="Q66" s="18" t="n">
        <v>2.03200445</v>
      </c>
      <c r="R66" s="20" t="n">
        <v>0.76924563</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(5024.0/B68*100)</f>
        <v/>
      </c>
      <c r="D68" s="19" t="n">
        <v>1025</v>
      </c>
      <c r="E68" s="18" t="n">
        <v>34.77078966</v>
      </c>
      <c r="F68" s="20" t="n">
        <v>1.56462106</v>
      </c>
      <c r="G68" s="18" t="n">
        <v>63.01759008</v>
      </c>
      <c r="H68" s="20" t="n">
        <v>1.5600739</v>
      </c>
      <c r="I68" s="18" t="s">
        <v>349</v>
      </c>
      <c r="J68" s="20" t="s">
        <v>349</v>
      </c>
      <c r="K68" s="18" t="n">
        <v>1.05575774</v>
      </c>
      <c r="L68" s="20" t="n">
        <v>0.27779729</v>
      </c>
      <c r="M68" s="18" t="n">
        <v>0</v>
      </c>
      <c r="N68" s="20" t="n">
        <v>0</v>
      </c>
      <c r="O68" s="18" t="n">
        <v>0</v>
      </c>
      <c r="P68" s="20" t="n">
        <v>0</v>
      </c>
      <c r="Q68" s="18" t="n">
        <v>1.15586252</v>
      </c>
      <c r="R68" s="20" t="n">
        <v>0.29234447</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(2562.0/B70*100)</f>
        <v/>
      </c>
      <c r="D70" s="19" t="n">
        <v>367</v>
      </c>
      <c r="E70" s="18" t="n">
        <v>26.44517634</v>
      </c>
      <c r="F70" s="20" t="n">
        <v>2.83798822</v>
      </c>
      <c r="G70" s="18" t="n">
        <v>72.87362188</v>
      </c>
      <c r="H70" s="20" t="n">
        <v>3.09880545</v>
      </c>
      <c r="I70" s="18" t="s">
        <v>349</v>
      </c>
      <c r="J70" s="20" t="s">
        <v>349</v>
      </c>
      <c r="K70" s="18" t="n">
        <v>0</v>
      </c>
      <c r="L70" s="20" t="n">
        <v>0</v>
      </c>
      <c r="M70" s="18" t="n">
        <v>0</v>
      </c>
      <c r="N70" s="20" t="n">
        <v>0</v>
      </c>
      <c r="O70" s="18" t="n">
        <v>0</v>
      </c>
      <c r="P70" s="20" t="n">
        <v>0</v>
      </c>
      <c r="Q70" s="18" t="n">
        <v>0.68120179</v>
      </c>
      <c r="R70" s="20" t="n">
        <v>0.66240847</v>
      </c>
    </row>
    <row r="71" spans="1:18">
      <c r="A71" s="15" t="s">
        <v>413</v>
      </c>
      <c r="B71" s="17" t="n">
        <v>3142</v>
      </c>
      <c r="C71" s="18">
        <f>(2753.0/B71*100)</f>
        <v/>
      </c>
      <c r="D71" s="19" t="n">
        <v>389</v>
      </c>
      <c r="E71" s="18" t="n">
        <v>11.70472098</v>
      </c>
      <c r="F71" s="20" t="n">
        <v>1.52978406</v>
      </c>
      <c r="G71" s="18" t="n">
        <v>88.05593423000001</v>
      </c>
      <c r="H71" s="20" t="n">
        <v>1.53649831</v>
      </c>
      <c r="I71" s="18" t="s">
        <v>349</v>
      </c>
      <c r="J71" s="20" t="s">
        <v>349</v>
      </c>
      <c r="K71" s="18" t="n">
        <v>0.23934479</v>
      </c>
      <c r="L71" s="20" t="n">
        <v>0.24443143</v>
      </c>
      <c r="M71" s="18" t="n">
        <v>0</v>
      </c>
      <c r="N71" s="20" t="n">
        <v>0</v>
      </c>
      <c r="O71" s="18" t="n">
        <v>0</v>
      </c>
      <c r="P71" s="20" t="n">
        <v>0</v>
      </c>
      <c r="Q71" s="18" t="n">
        <v>0</v>
      </c>
      <c r="R71" s="20" t="n">
        <v>0</v>
      </c>
    </row>
    <row r="72" spans="1:18">
      <c r="A72" s="15" t="s">
        <v>414</v>
      </c>
      <c r="B72" s="17" t="n">
        <v>3889</v>
      </c>
      <c r="C72" s="18">
        <f>(3415.0/B72*100)</f>
        <v/>
      </c>
      <c r="D72" s="19" t="n">
        <v>474</v>
      </c>
      <c r="E72" s="18" t="n">
        <v>21.55060252</v>
      </c>
      <c r="F72" s="20" t="n">
        <v>2.14808765</v>
      </c>
      <c r="G72" s="18" t="n">
        <v>77.30885348</v>
      </c>
      <c r="H72" s="20" t="n">
        <v>2.11129678</v>
      </c>
      <c r="I72" s="18" t="s">
        <v>349</v>
      </c>
      <c r="J72" s="20" t="s">
        <v>349</v>
      </c>
      <c r="K72" s="18" t="n">
        <v>0.28816594</v>
      </c>
      <c r="L72" s="20" t="n">
        <v>0.28731653</v>
      </c>
      <c r="M72" s="18" t="n">
        <v>0</v>
      </c>
      <c r="N72" s="20" t="n">
        <v>0</v>
      </c>
      <c r="O72" s="18" t="n">
        <v>0</v>
      </c>
      <c r="P72" s="20" t="n">
        <v>0</v>
      </c>
      <c r="Q72" s="18" t="n">
        <v>0.85237806</v>
      </c>
      <c r="R72" s="20" t="n">
        <v>0.3924698</v>
      </c>
    </row>
    <row r="73" spans="1:18">
      <c r="A73" s="15" t="s">
        <v>415</v>
      </c>
      <c r="B73" s="17" t="n">
        <v>3597</v>
      </c>
      <c r="C73" s="18">
        <f>(3132.0/B73*100)</f>
        <v/>
      </c>
      <c r="D73" s="19" t="n">
        <v>465</v>
      </c>
      <c r="E73" s="18" t="n">
        <v>40.88773242</v>
      </c>
      <c r="F73" s="20" t="n">
        <v>2.98328505</v>
      </c>
      <c r="G73" s="18" t="n">
        <v>58.81668007</v>
      </c>
      <c r="H73" s="20" t="n">
        <v>3.01358936</v>
      </c>
      <c r="I73" s="18" t="s">
        <v>349</v>
      </c>
      <c r="J73" s="20" t="s">
        <v>349</v>
      </c>
      <c r="K73" s="18" t="n">
        <v>0</v>
      </c>
      <c r="L73" s="20" t="n">
        <v>0</v>
      </c>
      <c r="M73" s="18" t="n">
        <v>0</v>
      </c>
      <c r="N73" s="20" t="n">
        <v>0</v>
      </c>
      <c r="O73" s="18" t="n">
        <v>0</v>
      </c>
      <c r="P73" s="20" t="n">
        <v>0</v>
      </c>
      <c r="Q73" s="18" t="n">
        <v>0.29558752</v>
      </c>
      <c r="R73" s="20" t="n">
        <v>0.29820646</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(3647.0/B81*100)</f>
        <v/>
      </c>
      <c r="D81" s="19" t="n">
        <v>516</v>
      </c>
      <c r="E81" s="18" t="n">
        <v>33.03758476</v>
      </c>
      <c r="F81" s="20" t="n">
        <v>2.6471858</v>
      </c>
      <c r="G81" s="18" t="n">
        <v>66.04604363</v>
      </c>
      <c r="H81" s="20" t="n">
        <v>2.77694391</v>
      </c>
      <c r="I81" s="18" t="s">
        <v>349</v>
      </c>
      <c r="J81" s="20" t="s">
        <v>349</v>
      </c>
      <c r="K81" s="18" t="n">
        <v>0.01975617</v>
      </c>
      <c r="L81" s="20" t="n">
        <v>0.67005654</v>
      </c>
      <c r="M81" s="18" t="n">
        <v>0</v>
      </c>
      <c r="N81" s="20" t="n">
        <v>0</v>
      </c>
      <c r="O81" s="18" t="n">
        <v>0</v>
      </c>
      <c r="P81" s="20" t="n">
        <v>0</v>
      </c>
      <c r="Q81" s="18" t="n">
        <v>0.89661544</v>
      </c>
      <c r="R81" s="20" t="n">
        <v>0.52178884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(6477.0/B7*100)</f>
        <v/>
      </c>
      <c r="D7" s="19" t="n">
        <v>890</v>
      </c>
      <c r="E7" s="18" t="n">
        <v>56.99555126</v>
      </c>
      <c r="F7" s="20" t="n">
        <v>1.76271257</v>
      </c>
      <c r="G7" s="18" t="n">
        <v>33.86633241</v>
      </c>
      <c r="H7" s="20" t="n">
        <v>1.65067462</v>
      </c>
      <c r="I7" s="18" t="s">
        <v>349</v>
      </c>
      <c r="J7" s="20" t="s">
        <v>349</v>
      </c>
      <c r="K7" s="18" t="n">
        <v>0.49570563</v>
      </c>
      <c r="L7" s="20" t="n">
        <v>0.29176574</v>
      </c>
      <c r="M7" s="18" t="n">
        <v>0.4378342</v>
      </c>
      <c r="N7" s="20" t="n">
        <v>0.26798121</v>
      </c>
      <c r="O7" s="18" t="n">
        <v>0</v>
      </c>
      <c r="P7" s="20" t="n">
        <v>0</v>
      </c>
      <c r="Q7" s="18" t="n">
        <v>8.2045765</v>
      </c>
      <c r="R7" s="20" t="n">
        <v>1.20778141</v>
      </c>
    </row>
    <row r="8" spans="1:18">
      <c r="A8" s="15" t="s">
        <v>350</v>
      </c>
      <c r="B8" s="17" t="n">
        <v>3564</v>
      </c>
      <c r="C8" s="18">
        <f>(3157.0/B8*100)</f>
        <v/>
      </c>
      <c r="D8" s="19" t="n">
        <v>407</v>
      </c>
      <c r="E8" s="18" t="n">
        <v>54.34481754</v>
      </c>
      <c r="F8" s="20" t="n">
        <v>3.26194918</v>
      </c>
      <c r="G8" s="18" t="n">
        <v>34.83380431</v>
      </c>
      <c r="H8" s="20" t="n">
        <v>2.85241284</v>
      </c>
      <c r="I8" s="18" t="s">
        <v>349</v>
      </c>
      <c r="J8" s="20" t="s">
        <v>349</v>
      </c>
      <c r="K8" s="18" t="n">
        <v>0</v>
      </c>
      <c r="L8" s="20" t="n">
        <v>0</v>
      </c>
      <c r="M8" s="18" t="n">
        <v>0</v>
      </c>
      <c r="N8" s="20" t="n">
        <v>0</v>
      </c>
      <c r="O8" s="18" t="n">
        <v>0</v>
      </c>
      <c r="P8" s="20" t="n">
        <v>0</v>
      </c>
      <c r="Q8" s="18" t="n">
        <v>10.82137816</v>
      </c>
      <c r="R8" s="20" t="n">
        <v>1.86416278</v>
      </c>
    </row>
    <row r="9" spans="1:18">
      <c r="A9" s="15" t="s">
        <v>351</v>
      </c>
      <c r="B9" s="17" t="n">
        <v>4899</v>
      </c>
      <c r="C9" s="18">
        <f>(4311.0/B9*100)</f>
        <v/>
      </c>
      <c r="D9" s="19" t="n">
        <v>588</v>
      </c>
      <c r="E9" s="18" t="n">
        <v>42.85502869</v>
      </c>
      <c r="F9" s="20" t="n">
        <v>1.74591948</v>
      </c>
      <c r="G9" s="18" t="n">
        <v>47.17319179</v>
      </c>
      <c r="H9" s="20" t="n">
        <v>1.89446035</v>
      </c>
      <c r="I9" s="18" t="s">
        <v>349</v>
      </c>
      <c r="J9" s="20" t="s">
        <v>349</v>
      </c>
      <c r="K9" s="18" t="n">
        <v>0.69445282</v>
      </c>
      <c r="L9" s="20" t="n">
        <v>0.35749115</v>
      </c>
      <c r="M9" s="18" t="n">
        <v>0.6652237600000001</v>
      </c>
      <c r="N9" s="20" t="n">
        <v>0.39286965</v>
      </c>
      <c r="O9" s="18" t="n">
        <v>0</v>
      </c>
      <c r="P9" s="20" t="n">
        <v>0</v>
      </c>
      <c r="Q9" s="18" t="n">
        <v>8.61210294</v>
      </c>
      <c r="R9" s="20" t="n">
        <v>1.2385454</v>
      </c>
    </row>
    <row r="10" spans="1:18">
      <c r="A10" s="15" t="s">
        <v>352</v>
      </c>
      <c r="B10" s="17" t="n">
        <v>10036</v>
      </c>
      <c r="C10" s="18">
        <f>(8805.0/B10*100)</f>
        <v/>
      </c>
      <c r="D10" s="19" t="n">
        <v>1231</v>
      </c>
      <c r="E10" s="18" t="n">
        <v>45.46700307</v>
      </c>
      <c r="F10" s="20" t="n">
        <v>1.87659235</v>
      </c>
      <c r="G10" s="18" t="n">
        <v>49.00845196</v>
      </c>
      <c r="H10" s="20" t="n">
        <v>1.82610031</v>
      </c>
      <c r="I10" s="18" t="s">
        <v>349</v>
      </c>
      <c r="J10" s="20" t="s">
        <v>349</v>
      </c>
      <c r="K10" s="18" t="n">
        <v>0.32705425</v>
      </c>
      <c r="L10" s="20" t="n">
        <v>0.21829464</v>
      </c>
      <c r="M10" s="18" t="n">
        <v>0.20325792</v>
      </c>
      <c r="N10" s="20" t="n">
        <v>0.12222313</v>
      </c>
      <c r="O10" s="18" t="n">
        <v>0</v>
      </c>
      <c r="P10" s="20" t="n">
        <v>0</v>
      </c>
      <c r="Q10" s="18" t="n">
        <v>4.99423281</v>
      </c>
      <c r="R10" s="20" t="n">
        <v>0.90097454</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(3061.0/B12*100)</f>
        <v/>
      </c>
      <c r="D12" s="19" t="n">
        <v>411</v>
      </c>
      <c r="E12" s="18" t="n">
        <v>62.34917658</v>
      </c>
      <c r="F12" s="20" t="n">
        <v>3.03346867</v>
      </c>
      <c r="G12" s="18" t="n">
        <v>28.43093428</v>
      </c>
      <c r="H12" s="20" t="n">
        <v>2.56587209</v>
      </c>
      <c r="I12" s="18" t="s">
        <v>349</v>
      </c>
      <c r="J12" s="20" t="s">
        <v>349</v>
      </c>
      <c r="K12" s="18" t="n">
        <v>0</v>
      </c>
      <c r="L12" s="20" t="n">
        <v>0</v>
      </c>
      <c r="M12" s="18" t="n">
        <v>0.47431216</v>
      </c>
      <c r="N12" s="20" t="n">
        <v>0.46480706</v>
      </c>
      <c r="O12" s="18" t="n">
        <v>0</v>
      </c>
      <c r="P12" s="20" t="n">
        <v>0</v>
      </c>
      <c r="Q12" s="18" t="n">
        <v>8.745576979999999</v>
      </c>
      <c r="R12" s="20" t="n">
        <v>1.53939762</v>
      </c>
    </row>
    <row r="13" spans="1:18">
      <c r="A13" s="15" t="s">
        <v>355</v>
      </c>
      <c r="B13" s="17" t="n">
        <v>3559</v>
      </c>
      <c r="C13" s="18">
        <f>(3138.0/B13*100)</f>
        <v/>
      </c>
      <c r="D13" s="19" t="n">
        <v>421</v>
      </c>
      <c r="E13" s="18" t="n">
        <v>16.66818965</v>
      </c>
      <c r="F13" s="20" t="n">
        <v>2.07071554</v>
      </c>
      <c r="G13" s="18" t="n">
        <v>38.61323981</v>
      </c>
      <c r="H13" s="20" t="n">
        <v>2.61157127</v>
      </c>
      <c r="I13" s="18" t="s">
        <v>349</v>
      </c>
      <c r="J13" s="20" t="s">
        <v>349</v>
      </c>
      <c r="K13" s="18" t="n">
        <v>0</v>
      </c>
      <c r="L13" s="20" t="n">
        <v>0</v>
      </c>
      <c r="M13" s="18" t="n">
        <v>44.71857054</v>
      </c>
      <c r="N13" s="20" t="n">
        <v>2.86704616</v>
      </c>
      <c r="O13" s="18" t="n">
        <v>0</v>
      </c>
      <c r="P13" s="20" t="n">
        <v>0</v>
      </c>
      <c r="Q13" s="18" t="n">
        <v>0</v>
      </c>
      <c r="R13" s="20" t="n">
        <v>0</v>
      </c>
    </row>
    <row r="14" spans="1:18">
      <c r="A14" s="15" t="s">
        <v>356</v>
      </c>
      <c r="B14" s="17" t="n">
        <v>2799</v>
      </c>
      <c r="C14" s="18">
        <f>(2420.0/B14*100)</f>
        <v/>
      </c>
      <c r="D14" s="19" t="n">
        <v>379</v>
      </c>
      <c r="E14" s="18" t="n">
        <v>44.14385515</v>
      </c>
      <c r="F14" s="20" t="n">
        <v>3.09154317</v>
      </c>
      <c r="G14" s="18" t="n">
        <v>50.04994515</v>
      </c>
      <c r="H14" s="20" t="n">
        <v>2.97540386</v>
      </c>
      <c r="I14" s="18" t="s">
        <v>349</v>
      </c>
      <c r="J14" s="20" t="s">
        <v>349</v>
      </c>
      <c r="K14" s="18" t="n">
        <v>0.20705778</v>
      </c>
      <c r="L14" s="20" t="n">
        <v>0.20680148</v>
      </c>
      <c r="M14" s="18" t="n">
        <v>0</v>
      </c>
      <c r="N14" s="20" t="n">
        <v>0</v>
      </c>
      <c r="O14" s="18" t="n">
        <v>0</v>
      </c>
      <c r="P14" s="20" t="n">
        <v>0</v>
      </c>
      <c r="Q14" s="18" t="n">
        <v>5.59914193</v>
      </c>
      <c r="R14" s="20" t="n">
        <v>1.32455659</v>
      </c>
    </row>
    <row r="15" spans="1:18">
      <c r="A15" s="15" t="s">
        <v>357</v>
      </c>
      <c r="B15" s="17" t="n">
        <v>3019</v>
      </c>
      <c r="C15" s="18">
        <f>(2641.0/B15*100)</f>
        <v/>
      </c>
      <c r="D15" s="19" t="n">
        <v>378</v>
      </c>
      <c r="E15" s="18" t="n">
        <v>52.59053592</v>
      </c>
      <c r="F15" s="20" t="n">
        <v>2.64798278</v>
      </c>
      <c r="G15" s="18" t="n">
        <v>40.23335424</v>
      </c>
      <c r="H15" s="20" t="n">
        <v>2.57666297</v>
      </c>
      <c r="I15" s="18" t="s">
        <v>349</v>
      </c>
      <c r="J15" s="20" t="s">
        <v>349</v>
      </c>
      <c r="K15" s="18" t="n">
        <v>0.24505686</v>
      </c>
      <c r="L15" s="20" t="n">
        <v>0.24659692</v>
      </c>
      <c r="M15" s="18" t="n">
        <v>0</v>
      </c>
      <c r="N15" s="20" t="n">
        <v>0</v>
      </c>
      <c r="O15" s="18" t="n">
        <v>0</v>
      </c>
      <c r="P15" s="20" t="n">
        <v>0</v>
      </c>
      <c r="Q15" s="18" t="n">
        <v>6.93105298</v>
      </c>
      <c r="R15" s="20" t="n">
        <v>1.43690382</v>
      </c>
    </row>
    <row r="16" spans="1:18">
      <c r="A16" s="15" t="s">
        <v>358</v>
      </c>
      <c r="B16" s="17" t="n">
        <v>2997</v>
      </c>
      <c r="C16" s="18">
        <f>(2611.0/B16*100)</f>
        <v/>
      </c>
      <c r="D16" s="19" t="n">
        <v>386</v>
      </c>
      <c r="E16" s="18" t="n">
        <v>40.09220263</v>
      </c>
      <c r="F16" s="20" t="n">
        <v>2.2232292</v>
      </c>
      <c r="G16" s="18" t="n">
        <v>42.83299758</v>
      </c>
      <c r="H16" s="20" t="n">
        <v>1.82108599</v>
      </c>
      <c r="I16" s="18" t="s">
        <v>349</v>
      </c>
      <c r="J16" s="20" t="s">
        <v>349</v>
      </c>
      <c r="K16" s="18" t="n">
        <v>0.53876131</v>
      </c>
      <c r="L16" s="20" t="n">
        <v>0.40259271</v>
      </c>
      <c r="M16" s="18" t="n">
        <v>0</v>
      </c>
      <c r="N16" s="20" t="n">
        <v>0</v>
      </c>
      <c r="O16" s="18" t="n">
        <v>0</v>
      </c>
      <c r="P16" s="20" t="n">
        <v>0</v>
      </c>
      <c r="Q16" s="18" t="n">
        <v>16.53603847</v>
      </c>
      <c r="R16" s="20" t="n">
        <v>1.79099702</v>
      </c>
    </row>
    <row r="17" spans="1:18">
      <c r="A17" s="15" t="s">
        <v>359</v>
      </c>
      <c r="B17" s="17" t="n">
        <v>3307</v>
      </c>
      <c r="C17" s="18">
        <f>(2912.0/B17*100)</f>
        <v/>
      </c>
      <c r="D17" s="19" t="n">
        <v>395</v>
      </c>
      <c r="E17" s="18" t="n">
        <v>51.78093259</v>
      </c>
      <c r="F17" s="20" t="n">
        <v>2.25925482</v>
      </c>
      <c r="G17" s="18" t="n">
        <v>39.85635999</v>
      </c>
      <c r="H17" s="20" t="n">
        <v>2.43821453</v>
      </c>
      <c r="I17" s="18" t="s">
        <v>349</v>
      </c>
      <c r="J17" s="20" t="s">
        <v>349</v>
      </c>
      <c r="K17" s="18" t="n">
        <v>0.20506427</v>
      </c>
      <c r="L17" s="20" t="n">
        <v>0.20065036</v>
      </c>
      <c r="M17" s="18" t="n">
        <v>0</v>
      </c>
      <c r="N17" s="20" t="n">
        <v>0</v>
      </c>
      <c r="O17" s="18" t="n">
        <v>0</v>
      </c>
      <c r="P17" s="20" t="n">
        <v>0</v>
      </c>
      <c r="Q17" s="18" t="n">
        <v>8.15764315</v>
      </c>
      <c r="R17" s="20" t="n">
        <v>1.51707842</v>
      </c>
    </row>
    <row r="18" spans="1:18">
      <c r="A18" s="15" t="s">
        <v>360</v>
      </c>
      <c r="B18" s="17" t="n">
        <v>2826</v>
      </c>
      <c r="C18" s="18">
        <f>(2452.0/B18*100)</f>
        <v/>
      </c>
      <c r="D18" s="19" t="n">
        <v>374</v>
      </c>
      <c r="E18" s="18" t="n">
        <v>50.26207912</v>
      </c>
      <c r="F18" s="20" t="n">
        <v>2.87446385</v>
      </c>
      <c r="G18" s="18" t="n">
        <v>36.9268102</v>
      </c>
      <c r="H18" s="20" t="n">
        <v>2.86824077</v>
      </c>
      <c r="I18" s="18" t="s">
        <v>349</v>
      </c>
      <c r="J18" s="20" t="s">
        <v>349</v>
      </c>
      <c r="K18" s="18" t="n">
        <v>0.36715305</v>
      </c>
      <c r="L18" s="20" t="n">
        <v>0.36579103</v>
      </c>
      <c r="M18" s="18" t="n">
        <v>0</v>
      </c>
      <c r="N18" s="20" t="n">
        <v>0</v>
      </c>
      <c r="O18" s="18" t="n">
        <v>0</v>
      </c>
      <c r="P18" s="20" t="n">
        <v>0</v>
      </c>
      <c r="Q18" s="18" t="n">
        <v>12.44395763</v>
      </c>
      <c r="R18" s="20" t="n">
        <v>1.97979267</v>
      </c>
    </row>
    <row r="19" spans="1:18">
      <c r="A19" s="15" t="s">
        <v>361</v>
      </c>
      <c r="B19" s="17" t="n">
        <v>2808</v>
      </c>
      <c r="C19" s="18">
        <f>(2477.0/B19*100)</f>
        <v/>
      </c>
      <c r="D19" s="19" t="n">
        <v>331</v>
      </c>
      <c r="E19" s="18" t="n">
        <v>54.61948518</v>
      </c>
      <c r="F19" s="20" t="n">
        <v>2.915449</v>
      </c>
      <c r="G19" s="18" t="n">
        <v>37.92050968</v>
      </c>
      <c r="H19" s="20" t="n">
        <v>2.67710176</v>
      </c>
      <c r="I19" s="18" t="s">
        <v>349</v>
      </c>
      <c r="J19" s="20" t="s">
        <v>349</v>
      </c>
      <c r="K19" s="18" t="n">
        <v>0</v>
      </c>
      <c r="L19" s="20" t="n">
        <v>0</v>
      </c>
      <c r="M19" s="18" t="n">
        <v>0</v>
      </c>
      <c r="N19" s="20" t="n">
        <v>0</v>
      </c>
      <c r="O19" s="18" t="n">
        <v>0</v>
      </c>
      <c r="P19" s="20" t="n">
        <v>0</v>
      </c>
      <c r="Q19" s="18" t="n">
        <v>7.46000514</v>
      </c>
      <c r="R19" s="20" t="n">
        <v>1.76061275</v>
      </c>
    </row>
    <row r="20" spans="1:18">
      <c r="A20" s="15" t="s">
        <v>362</v>
      </c>
      <c r="B20" s="17" t="n">
        <v>1630</v>
      </c>
      <c r="C20" s="18">
        <f>(1430.0/B20*100)</f>
        <v/>
      </c>
      <c r="D20" s="19" t="n">
        <v>200</v>
      </c>
      <c r="E20" s="18" t="n">
        <v>52.0805471</v>
      </c>
      <c r="F20" s="20" t="n">
        <v>3.88374311</v>
      </c>
      <c r="G20" s="18" t="n">
        <v>37.28488986</v>
      </c>
      <c r="H20" s="20" t="n">
        <v>3.81016145</v>
      </c>
      <c r="I20" s="18" t="s">
        <v>349</v>
      </c>
      <c r="J20" s="20" t="s">
        <v>349</v>
      </c>
      <c r="K20" s="18" t="n">
        <v>1.42560645</v>
      </c>
      <c r="L20" s="20" t="n">
        <v>0.81391554</v>
      </c>
      <c r="M20" s="18" t="n">
        <v>0</v>
      </c>
      <c r="N20" s="20" t="n">
        <v>0</v>
      </c>
      <c r="O20" s="18" t="n">
        <v>0</v>
      </c>
      <c r="P20" s="20" t="n">
        <v>0</v>
      </c>
      <c r="Q20" s="18" t="n">
        <v>9.20895659</v>
      </c>
      <c r="R20" s="20" t="n">
        <v>2.12598048</v>
      </c>
    </row>
    <row r="21" spans="1:18">
      <c r="A21" s="15" t="s">
        <v>363</v>
      </c>
      <c r="B21" s="17" t="n">
        <v>2908</v>
      </c>
      <c r="C21" s="18">
        <f>(2420.0/B21*100)</f>
        <v/>
      </c>
      <c r="D21" s="19" t="n">
        <v>488</v>
      </c>
      <c r="E21" s="18" t="n">
        <v>47.67873632</v>
      </c>
      <c r="F21" s="20" t="n">
        <v>2.13034679</v>
      </c>
      <c r="G21" s="18" t="n">
        <v>44.62935887</v>
      </c>
      <c r="H21" s="20" t="n">
        <v>2.35847272</v>
      </c>
      <c r="I21" s="18" t="s">
        <v>349</v>
      </c>
      <c r="J21" s="20" t="s">
        <v>349</v>
      </c>
      <c r="K21" s="18" t="n">
        <v>0.3249278</v>
      </c>
      <c r="L21" s="20" t="n">
        <v>0.31325374</v>
      </c>
      <c r="M21" s="18" t="n">
        <v>0</v>
      </c>
      <c r="N21" s="20" t="n">
        <v>0</v>
      </c>
      <c r="O21" s="18" t="n">
        <v>0</v>
      </c>
      <c r="P21" s="20" t="n">
        <v>0</v>
      </c>
      <c r="Q21" s="18" t="n">
        <v>7.366977</v>
      </c>
      <c r="R21" s="20" t="n">
        <v>1.19092602</v>
      </c>
    </row>
    <row r="22" spans="1:18">
      <c r="A22" s="15" t="s">
        <v>364</v>
      </c>
      <c r="B22" s="17" t="n">
        <v>2931</v>
      </c>
      <c r="C22" s="18">
        <f>(2567.0/B22*100)</f>
        <v/>
      </c>
      <c r="D22" s="19" t="n">
        <v>364</v>
      </c>
      <c r="E22" s="18" t="n">
        <v>52.50471671</v>
      </c>
      <c r="F22" s="20" t="n">
        <v>2.78732714</v>
      </c>
      <c r="G22" s="18" t="n">
        <v>36.81353515</v>
      </c>
      <c r="H22" s="20" t="n">
        <v>2.41028994</v>
      </c>
      <c r="I22" s="18" t="s">
        <v>349</v>
      </c>
      <c r="J22" s="20" t="s">
        <v>349</v>
      </c>
      <c r="K22" s="18" t="n">
        <v>0.33234728</v>
      </c>
      <c r="L22" s="20" t="n">
        <v>0.29201114</v>
      </c>
      <c r="M22" s="18" t="n">
        <v>0</v>
      </c>
      <c r="N22" s="20" t="n">
        <v>0</v>
      </c>
      <c r="O22" s="18" t="n">
        <v>0</v>
      </c>
      <c r="P22" s="20" t="n">
        <v>0</v>
      </c>
      <c r="Q22" s="18" t="n">
        <v>10.34940085</v>
      </c>
      <c r="R22" s="20" t="n">
        <v>1.81999632</v>
      </c>
    </row>
    <row r="23" spans="1:18">
      <c r="A23" s="15" t="s">
        <v>365</v>
      </c>
      <c r="B23" s="17" t="n">
        <v>5791</v>
      </c>
      <c r="C23" s="18">
        <f>(5092.0/B23*100)</f>
        <v/>
      </c>
      <c r="D23" s="19" t="n">
        <v>699</v>
      </c>
      <c r="E23" s="18" t="n">
        <v>51.6908783</v>
      </c>
      <c r="F23" s="20" t="n">
        <v>2.74851517</v>
      </c>
      <c r="G23" s="18" t="n">
        <v>32.58686239</v>
      </c>
      <c r="H23" s="20" t="n">
        <v>2.52818911</v>
      </c>
      <c r="I23" s="18" t="s">
        <v>349</v>
      </c>
      <c r="J23" s="20" t="s">
        <v>349</v>
      </c>
      <c r="K23" s="18" t="n">
        <v>0.27966432</v>
      </c>
      <c r="L23" s="20" t="n">
        <v>0.28266097</v>
      </c>
      <c r="M23" s="18" t="n">
        <v>0</v>
      </c>
      <c r="N23" s="20" t="n">
        <v>0</v>
      </c>
      <c r="O23" s="18" t="n">
        <v>0</v>
      </c>
      <c r="P23" s="20" t="n">
        <v>0</v>
      </c>
      <c r="Q23" s="18" t="n">
        <v>15.44259499</v>
      </c>
      <c r="R23" s="20" t="n">
        <v>1.88729751</v>
      </c>
    </row>
    <row r="24" spans="1:18">
      <c r="A24" s="15" t="s">
        <v>366</v>
      </c>
      <c r="B24" s="17" t="n">
        <v>3338</v>
      </c>
      <c r="C24" s="18">
        <f>(2916.0/B24*100)</f>
        <v/>
      </c>
      <c r="D24" s="19" t="n">
        <v>422</v>
      </c>
      <c r="E24" s="18" t="n">
        <v>57.44234439</v>
      </c>
      <c r="F24" s="20" t="n">
        <v>2.72563166</v>
      </c>
      <c r="G24" s="18" t="n">
        <v>34.79958816</v>
      </c>
      <c r="H24" s="20" t="n">
        <v>2.28118014</v>
      </c>
      <c r="I24" s="18" t="s">
        <v>349</v>
      </c>
      <c r="J24" s="20" t="s">
        <v>349</v>
      </c>
      <c r="K24" s="18" t="n">
        <v>0.41756029</v>
      </c>
      <c r="L24" s="20" t="n">
        <v>0.29808838</v>
      </c>
      <c r="M24" s="18" t="n">
        <v>0</v>
      </c>
      <c r="N24" s="20" t="n">
        <v>0</v>
      </c>
      <c r="O24" s="18" t="n">
        <v>0</v>
      </c>
      <c r="P24" s="20" t="n">
        <v>0</v>
      </c>
      <c r="Q24" s="18" t="n">
        <v>7.34050716</v>
      </c>
      <c r="R24" s="20" t="n">
        <v>1.36116488</v>
      </c>
    </row>
    <row r="25" spans="1:18">
      <c r="A25" s="15" t="s">
        <v>367</v>
      </c>
      <c r="B25" s="17" t="n">
        <v>2912</v>
      </c>
      <c r="C25" s="18">
        <f>(2542.0/B25*100)</f>
        <v/>
      </c>
      <c r="D25" s="19" t="n">
        <v>370</v>
      </c>
      <c r="E25" s="18" t="n">
        <v>58.13612987</v>
      </c>
      <c r="F25" s="20" t="n">
        <v>2.80247084</v>
      </c>
      <c r="G25" s="18" t="n">
        <v>35.57063783</v>
      </c>
      <c r="H25" s="20" t="n">
        <v>2.80998246</v>
      </c>
      <c r="I25" s="18" t="s">
        <v>349</v>
      </c>
      <c r="J25" s="20" t="s">
        <v>349</v>
      </c>
      <c r="K25" s="18" t="n">
        <v>0</v>
      </c>
      <c r="L25" s="20" t="n">
        <v>0</v>
      </c>
      <c r="M25" s="18" t="n">
        <v>0</v>
      </c>
      <c r="N25" s="20" t="n">
        <v>0</v>
      </c>
      <c r="O25" s="18" t="n">
        <v>0</v>
      </c>
      <c r="P25" s="20" t="n">
        <v>0</v>
      </c>
      <c r="Q25" s="18" t="n">
        <v>6.2932323</v>
      </c>
      <c r="R25" s="20" t="n">
        <v>1.49788493</v>
      </c>
    </row>
    <row r="26" spans="1:18">
      <c r="A26" s="15" t="s">
        <v>368</v>
      </c>
      <c r="B26" s="17" t="n">
        <v>2450</v>
      </c>
      <c r="C26" s="18">
        <f>(2163.0/B26*100)</f>
        <v/>
      </c>
      <c r="D26" s="19" t="n">
        <v>287</v>
      </c>
      <c r="E26" s="18" t="n">
        <v>62.46287047</v>
      </c>
      <c r="F26" s="20" t="n">
        <v>3.50777599</v>
      </c>
      <c r="G26" s="18" t="n">
        <v>30.12952755</v>
      </c>
      <c r="H26" s="20" t="n">
        <v>3.25039373</v>
      </c>
      <c r="I26" s="18" t="s">
        <v>349</v>
      </c>
      <c r="J26" s="20" t="s">
        <v>349</v>
      </c>
      <c r="K26" s="18" t="n">
        <v>0</v>
      </c>
      <c r="L26" s="20" t="n">
        <v>0</v>
      </c>
      <c r="M26" s="18" t="n">
        <v>0</v>
      </c>
      <c r="N26" s="20" t="n">
        <v>0</v>
      </c>
      <c r="O26" s="18" t="n">
        <v>0</v>
      </c>
      <c r="P26" s="20" t="n">
        <v>0</v>
      </c>
      <c r="Q26" s="18" t="n">
        <v>7.40760198</v>
      </c>
      <c r="R26" s="20" t="n">
        <v>1.27828867</v>
      </c>
    </row>
    <row r="27" spans="1:18">
      <c r="A27" s="15" t="s">
        <v>369</v>
      </c>
      <c r="B27" s="17" t="n">
        <v>2616</v>
      </c>
      <c r="C27" s="18">
        <f>(2292.0/B27*100)</f>
        <v/>
      </c>
      <c r="D27" s="19" t="n">
        <v>324</v>
      </c>
      <c r="E27" s="18" t="n">
        <v>50.97126861</v>
      </c>
      <c r="F27" s="20" t="n">
        <v>2.73214641</v>
      </c>
      <c r="G27" s="18" t="n">
        <v>39.72461762</v>
      </c>
      <c r="H27" s="20" t="n">
        <v>2.72169374</v>
      </c>
      <c r="I27" s="18" t="s">
        <v>349</v>
      </c>
      <c r="J27" s="20" t="s">
        <v>349</v>
      </c>
      <c r="K27" s="18" t="n">
        <v>0.31492604</v>
      </c>
      <c r="L27" s="20" t="n">
        <v>0.31259737</v>
      </c>
      <c r="M27" s="18" t="n">
        <v>0</v>
      </c>
      <c r="N27" s="20" t="n">
        <v>0</v>
      </c>
      <c r="O27" s="18" t="n">
        <v>0</v>
      </c>
      <c r="P27" s="20" t="n">
        <v>0</v>
      </c>
      <c r="Q27" s="18" t="n">
        <v>8.989187729999999</v>
      </c>
      <c r="R27" s="20" t="n">
        <v>1.49999754</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47.47717223</v>
      </c>
      <c r="F29" s="20" t="n">
        <v>3.17982807</v>
      </c>
      <c r="G29" s="18" t="n">
        <v>49.30482098</v>
      </c>
      <c r="H29" s="20" t="n">
        <v>3.01760556</v>
      </c>
      <c r="I29" s="18" t="s">
        <v>349</v>
      </c>
      <c r="J29" s="20" t="s">
        <v>349</v>
      </c>
      <c r="K29" s="18" t="n">
        <v>0.5842277299999999</v>
      </c>
      <c r="L29" s="20" t="n">
        <v>0.4258426</v>
      </c>
      <c r="M29" s="18" t="n">
        <v>0</v>
      </c>
      <c r="N29" s="20" t="n">
        <v>0</v>
      </c>
      <c r="O29" s="18" t="n">
        <v>0</v>
      </c>
      <c r="P29" s="20" t="n">
        <v>0</v>
      </c>
      <c r="Q29" s="18" t="n">
        <v>2.63377906</v>
      </c>
      <c r="R29" s="20" t="n">
        <v>0.90652378</v>
      </c>
    </row>
    <row r="30" spans="1:18">
      <c r="A30" s="15" t="s">
        <v>372</v>
      </c>
      <c r="B30" s="17" t="n">
        <v>2263</v>
      </c>
      <c r="C30" s="18">
        <f>(2007.0/B30*100)</f>
        <v/>
      </c>
      <c r="D30" s="19" t="n">
        <v>256</v>
      </c>
      <c r="E30" s="18" t="n">
        <v>46.17415733</v>
      </c>
      <c r="F30" s="20" t="n">
        <v>3.39465591</v>
      </c>
      <c r="G30" s="18" t="n">
        <v>46.80335567</v>
      </c>
      <c r="H30" s="20" t="n">
        <v>3.21928466</v>
      </c>
      <c r="I30" s="18" t="s">
        <v>349</v>
      </c>
      <c r="J30" s="20" t="s">
        <v>349</v>
      </c>
      <c r="K30" s="18" t="n">
        <v>0</v>
      </c>
      <c r="L30" s="20" t="n">
        <v>0</v>
      </c>
      <c r="M30" s="18" t="n">
        <v>0</v>
      </c>
      <c r="N30" s="20" t="n">
        <v>0</v>
      </c>
      <c r="O30" s="18" t="n">
        <v>0</v>
      </c>
      <c r="P30" s="20" t="n">
        <v>0</v>
      </c>
      <c r="Q30" s="18" t="n">
        <v>7.022487</v>
      </c>
      <c r="R30" s="20" t="n">
        <v>1.9168112</v>
      </c>
    </row>
    <row r="31" spans="1:18">
      <c r="A31" s="15" t="s">
        <v>373</v>
      </c>
      <c r="B31" s="17" t="n">
        <v>2750</v>
      </c>
      <c r="C31" s="18">
        <f>(2393.0/B31*100)</f>
        <v/>
      </c>
      <c r="D31" s="19" t="n">
        <v>357</v>
      </c>
      <c r="E31" s="18" t="n">
        <v>53.40518706</v>
      </c>
      <c r="F31" s="20" t="n">
        <v>2.71457559</v>
      </c>
      <c r="G31" s="18" t="n">
        <v>37.77729476</v>
      </c>
      <c r="H31" s="20" t="n">
        <v>2.80907371</v>
      </c>
      <c r="I31" s="18" t="s">
        <v>349</v>
      </c>
      <c r="J31" s="20" t="s">
        <v>349</v>
      </c>
      <c r="K31" s="18" t="n">
        <v>0.5530705</v>
      </c>
      <c r="L31" s="20" t="n">
        <v>0.3973775</v>
      </c>
      <c r="M31" s="18" t="n">
        <v>0</v>
      </c>
      <c r="N31" s="20" t="n">
        <v>0</v>
      </c>
      <c r="O31" s="18" t="n">
        <v>0</v>
      </c>
      <c r="P31" s="20" t="n">
        <v>0</v>
      </c>
      <c r="Q31" s="18" t="n">
        <v>8.26444768</v>
      </c>
      <c r="R31" s="20" t="n">
        <v>1.57090145</v>
      </c>
    </row>
    <row r="32" spans="1:18">
      <c r="A32" s="15" t="s">
        <v>374</v>
      </c>
      <c r="B32" s="17" t="n">
        <v>2269</v>
      </c>
      <c r="C32" s="18">
        <f>(1892.0/B32*100)</f>
        <v/>
      </c>
      <c r="D32" s="19" t="n">
        <v>377</v>
      </c>
      <c r="E32" s="18" t="n">
        <v>50.75091548</v>
      </c>
      <c r="F32" s="20" t="n">
        <v>2.69203171</v>
      </c>
      <c r="G32" s="18" t="n">
        <v>45.00282335</v>
      </c>
      <c r="H32" s="20" t="n">
        <v>2.72405136</v>
      </c>
      <c r="I32" s="18" t="s">
        <v>349</v>
      </c>
      <c r="J32" s="20" t="s">
        <v>349</v>
      </c>
      <c r="K32" s="18" t="n">
        <v>0.75536218</v>
      </c>
      <c r="L32" s="20" t="n">
        <v>0.41368598</v>
      </c>
      <c r="M32" s="18" t="n">
        <v>0</v>
      </c>
      <c r="N32" s="20" t="n">
        <v>0</v>
      </c>
      <c r="O32" s="18" t="n">
        <v>0</v>
      </c>
      <c r="P32" s="20" t="n">
        <v>0</v>
      </c>
      <c r="Q32" s="18" t="n">
        <v>3.49089899</v>
      </c>
      <c r="R32" s="20" t="n">
        <v>1.20770927</v>
      </c>
    </row>
    <row r="33" spans="1:18">
      <c r="A33" s="15" t="s">
        <v>375</v>
      </c>
      <c r="B33" s="17" t="n">
        <v>3674</v>
      </c>
      <c r="C33" s="18">
        <f>(3237.0/B33*100)</f>
        <v/>
      </c>
      <c r="D33" s="19" t="n">
        <v>437</v>
      </c>
      <c r="E33" s="18" t="n">
        <v>51.94344571</v>
      </c>
      <c r="F33" s="20" t="n">
        <v>3.06946691</v>
      </c>
      <c r="G33" s="18" t="n">
        <v>36.2475896</v>
      </c>
      <c r="H33" s="20" t="n">
        <v>2.91124229</v>
      </c>
      <c r="I33" s="18" t="s">
        <v>349</v>
      </c>
      <c r="J33" s="20" t="s">
        <v>349</v>
      </c>
      <c r="K33" s="18" t="n">
        <v>0</v>
      </c>
      <c r="L33" s="20" t="n">
        <v>0</v>
      </c>
      <c r="M33" s="18" t="n">
        <v>0</v>
      </c>
      <c r="N33" s="20" t="n">
        <v>0</v>
      </c>
      <c r="O33" s="18" t="n">
        <v>0</v>
      </c>
      <c r="P33" s="20" t="n">
        <v>0</v>
      </c>
      <c r="Q33" s="18" t="n">
        <v>11.8089647</v>
      </c>
      <c r="R33" s="20" t="n">
        <v>2.04212677</v>
      </c>
    </row>
    <row r="34" spans="1:18">
      <c r="A34" s="15" t="s">
        <v>376</v>
      </c>
      <c r="B34" s="17" t="n">
        <v>3315</v>
      </c>
      <c r="C34" s="18">
        <f>(2940.0/B34*100)</f>
        <v/>
      </c>
      <c r="D34" s="19" t="n">
        <v>375</v>
      </c>
      <c r="E34" s="18" t="n">
        <v>67.40234198</v>
      </c>
      <c r="F34" s="20" t="n">
        <v>2.94060871</v>
      </c>
      <c r="G34" s="18" t="n">
        <v>25.20590656</v>
      </c>
      <c r="H34" s="20" t="n">
        <v>2.74299039</v>
      </c>
      <c r="I34" s="18" t="s">
        <v>349</v>
      </c>
      <c r="J34" s="20" t="s">
        <v>349</v>
      </c>
      <c r="K34" s="18" t="n">
        <v>0.21438955</v>
      </c>
      <c r="L34" s="20" t="n">
        <v>0.21285548</v>
      </c>
      <c r="M34" s="18" t="n">
        <v>0</v>
      </c>
      <c r="N34" s="20" t="n">
        <v>0</v>
      </c>
      <c r="O34" s="18" t="n">
        <v>0</v>
      </c>
      <c r="P34" s="20" t="n">
        <v>0</v>
      </c>
      <c r="Q34" s="18" t="n">
        <v>7.17736191</v>
      </c>
      <c r="R34" s="20" t="n">
        <v>1.22988408</v>
      </c>
    </row>
    <row r="35" spans="1:18">
      <c r="A35" s="15" t="s">
        <v>377</v>
      </c>
      <c r="B35" s="17" t="n">
        <v>3505</v>
      </c>
      <c r="C35" s="18">
        <f>(3075.0/B35*100)</f>
        <v/>
      </c>
      <c r="D35" s="19" t="n">
        <v>430</v>
      </c>
      <c r="E35" s="18" t="n">
        <v>59.94926773</v>
      </c>
      <c r="F35" s="20" t="n">
        <v>2.83038913</v>
      </c>
      <c r="G35" s="18" t="n">
        <v>32.49860233</v>
      </c>
      <c r="H35" s="20" t="n">
        <v>2.94173927</v>
      </c>
      <c r="I35" s="18" t="s">
        <v>349</v>
      </c>
      <c r="J35" s="20" t="s">
        <v>349</v>
      </c>
      <c r="K35" s="18" t="n">
        <v>0.11409523</v>
      </c>
      <c r="L35" s="20" t="n">
        <v>0.11528958</v>
      </c>
      <c r="M35" s="18" t="n">
        <v>0.40224172</v>
      </c>
      <c r="N35" s="20" t="n">
        <v>0.40365557</v>
      </c>
      <c r="O35" s="18" t="n">
        <v>0</v>
      </c>
      <c r="P35" s="20" t="n">
        <v>0</v>
      </c>
      <c r="Q35" s="18" t="n">
        <v>7.03579299</v>
      </c>
      <c r="R35" s="20" t="n">
        <v>1.20019133</v>
      </c>
    </row>
    <row r="36" spans="1:18">
      <c r="A36" s="15" t="s">
        <v>378</v>
      </c>
      <c r="B36" s="17" t="n">
        <v>3332</v>
      </c>
      <c r="C36" s="18">
        <f>(2927.0/B36*100)</f>
        <v/>
      </c>
      <c r="D36" s="19" t="n">
        <v>405</v>
      </c>
      <c r="E36" s="18" t="n">
        <v>40.64041489</v>
      </c>
      <c r="F36" s="20" t="n">
        <v>2.68670027</v>
      </c>
      <c r="G36" s="18" t="n">
        <v>47.42938907</v>
      </c>
      <c r="H36" s="20" t="n">
        <v>2.72166289</v>
      </c>
      <c r="I36" s="18" t="s">
        <v>349</v>
      </c>
      <c r="J36" s="20" t="s">
        <v>349</v>
      </c>
      <c r="K36" s="18" t="n">
        <v>0.63212863</v>
      </c>
      <c r="L36" s="20" t="n">
        <v>0.40365329</v>
      </c>
      <c r="M36" s="18" t="n">
        <v>0</v>
      </c>
      <c r="N36" s="20" t="n">
        <v>0</v>
      </c>
      <c r="O36" s="18" t="n">
        <v>0</v>
      </c>
      <c r="P36" s="20" t="n">
        <v>0</v>
      </c>
      <c r="Q36" s="18" t="n">
        <v>11.29806741</v>
      </c>
      <c r="R36" s="20" t="n">
        <v>1.53886121</v>
      </c>
    </row>
    <row r="37" spans="1:18">
      <c r="A37" s="15" t="s">
        <v>379</v>
      </c>
      <c r="B37" s="17" t="n">
        <v>2727</v>
      </c>
      <c r="C37" s="18">
        <f>(2400.0/B37*100)</f>
        <v/>
      </c>
      <c r="D37" s="19" t="n">
        <v>327</v>
      </c>
      <c r="E37" s="18" t="n">
        <v>40.93602285</v>
      </c>
      <c r="F37" s="20" t="n">
        <v>2.53437067</v>
      </c>
      <c r="G37" s="18" t="n">
        <v>46.10460171</v>
      </c>
      <c r="H37" s="20" t="n">
        <v>2.85024444</v>
      </c>
      <c r="I37" s="18" t="s">
        <v>349</v>
      </c>
      <c r="J37" s="20" t="s">
        <v>349</v>
      </c>
      <c r="K37" s="18" t="n">
        <v>0.7182299599999999</v>
      </c>
      <c r="L37" s="20" t="n">
        <v>0.55250305</v>
      </c>
      <c r="M37" s="18" t="n">
        <v>0</v>
      </c>
      <c r="N37" s="20" t="n">
        <v>0</v>
      </c>
      <c r="O37" s="18" t="n">
        <v>0</v>
      </c>
      <c r="P37" s="20" t="n">
        <v>0</v>
      </c>
      <c r="Q37" s="18" t="n">
        <v>12.24114548</v>
      </c>
      <c r="R37" s="20" t="n">
        <v>1.97289003</v>
      </c>
    </row>
    <row r="38" spans="1:18">
      <c r="A38" s="15" t="s">
        <v>380</v>
      </c>
      <c r="B38" s="17" t="n">
        <v>3053</v>
      </c>
      <c r="C38" s="18">
        <f>(2551.0/B38*100)</f>
        <v/>
      </c>
      <c r="D38" s="19" t="n">
        <v>502</v>
      </c>
      <c r="E38" s="18" t="n">
        <v>48.46993807</v>
      </c>
      <c r="F38" s="20" t="n">
        <v>2.56459547</v>
      </c>
      <c r="G38" s="18" t="n">
        <v>45.88730936</v>
      </c>
      <c r="H38" s="20" t="n">
        <v>2.34510305</v>
      </c>
      <c r="I38" s="18" t="s">
        <v>349</v>
      </c>
      <c r="J38" s="20" t="s">
        <v>349</v>
      </c>
      <c r="K38" s="18" t="n">
        <v>0.20512514</v>
      </c>
      <c r="L38" s="20" t="n">
        <v>0.18353822</v>
      </c>
      <c r="M38" s="18" t="n">
        <v>0.26075619</v>
      </c>
      <c r="N38" s="20" t="n">
        <v>0.2601108</v>
      </c>
      <c r="O38" s="18" t="n">
        <v>0</v>
      </c>
      <c r="P38" s="20" t="n">
        <v>0</v>
      </c>
      <c r="Q38" s="18" t="n">
        <v>5.17687124</v>
      </c>
      <c r="R38" s="20" t="n">
        <v>1.17626731</v>
      </c>
    </row>
    <row r="39" spans="1:18">
      <c r="A39" s="15" t="s">
        <v>381</v>
      </c>
      <c r="B39" s="17" t="n">
        <v>2957</v>
      </c>
      <c r="C39" s="18">
        <f>(2581.0/B39*100)</f>
        <v/>
      </c>
      <c r="D39" s="19" t="n">
        <v>376</v>
      </c>
      <c r="E39" s="18" t="n">
        <v>72.53437712</v>
      </c>
      <c r="F39" s="20" t="n">
        <v>2.59097293</v>
      </c>
      <c r="G39" s="18" t="n">
        <v>20.29879237</v>
      </c>
      <c r="H39" s="20" t="n">
        <v>2.51848629</v>
      </c>
      <c r="I39" s="18" t="s">
        <v>349</v>
      </c>
      <c r="J39" s="20" t="s">
        <v>349</v>
      </c>
      <c r="K39" s="18" t="n">
        <v>0</v>
      </c>
      <c r="L39" s="20" t="n">
        <v>0</v>
      </c>
      <c r="M39" s="18" t="n">
        <v>0</v>
      </c>
      <c r="N39" s="20" t="n">
        <v>0</v>
      </c>
      <c r="O39" s="18" t="n">
        <v>0</v>
      </c>
      <c r="P39" s="20" t="n">
        <v>0</v>
      </c>
      <c r="Q39" s="18" t="n">
        <v>7.16683051</v>
      </c>
      <c r="R39" s="20" t="n">
        <v>1.52800324</v>
      </c>
    </row>
    <row r="40" spans="1:18">
      <c r="A40" s="15" t="s">
        <v>382</v>
      </c>
      <c r="B40" s="17" t="n">
        <v>7235</v>
      </c>
      <c r="C40" s="18">
        <f>(6369.0/B40*100)</f>
        <v/>
      </c>
      <c r="D40" s="19" t="n">
        <v>866</v>
      </c>
      <c r="E40" s="18" t="n">
        <v>43.76706497</v>
      </c>
      <c r="F40" s="20" t="n">
        <v>2.37472336</v>
      </c>
      <c r="G40" s="18" t="n">
        <v>46.15777398</v>
      </c>
      <c r="H40" s="20" t="n">
        <v>2.54154736</v>
      </c>
      <c r="I40" s="18" t="s">
        <v>349</v>
      </c>
      <c r="J40" s="20" t="s">
        <v>349</v>
      </c>
      <c r="K40" s="18" t="n">
        <v>0.2999877</v>
      </c>
      <c r="L40" s="20" t="n">
        <v>0.27121169</v>
      </c>
      <c r="M40" s="18" t="n">
        <v>0</v>
      </c>
      <c r="N40" s="20" t="n">
        <v>0</v>
      </c>
      <c r="O40" s="18" t="n">
        <v>0</v>
      </c>
      <c r="P40" s="20" t="n">
        <v>0</v>
      </c>
      <c r="Q40" s="18" t="n">
        <v>9.775173349999999</v>
      </c>
      <c r="R40" s="20" t="n">
        <v>1.69251333</v>
      </c>
    </row>
    <row r="41" spans="1:18">
      <c r="A41" s="15" t="s">
        <v>383</v>
      </c>
      <c r="B41" s="17" t="n">
        <v>2858</v>
      </c>
      <c r="C41" s="18">
        <f>(2533.0/B41*100)</f>
        <v/>
      </c>
      <c r="D41" s="19" t="n">
        <v>325</v>
      </c>
      <c r="E41" s="18" t="n">
        <v>65.67250610000001</v>
      </c>
      <c r="F41" s="20" t="n">
        <v>2.64192546</v>
      </c>
      <c r="G41" s="18" t="n">
        <v>29.33747676</v>
      </c>
      <c r="H41" s="20" t="n">
        <v>2.73345849</v>
      </c>
      <c r="I41" s="18" t="s">
        <v>349</v>
      </c>
      <c r="J41" s="20" t="s">
        <v>349</v>
      </c>
      <c r="K41" s="18" t="n">
        <v>0</v>
      </c>
      <c r="L41" s="20" t="n">
        <v>0</v>
      </c>
      <c r="M41" s="18" t="n">
        <v>0</v>
      </c>
      <c r="N41" s="20" t="n">
        <v>0</v>
      </c>
      <c r="O41" s="18" t="n">
        <v>0</v>
      </c>
      <c r="P41" s="20" t="n">
        <v>0</v>
      </c>
      <c r="Q41" s="18" t="n">
        <v>4.99001713</v>
      </c>
      <c r="R41" s="20" t="n">
        <v>1.45691309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(4507.0/B48*100)</f>
        <v/>
      </c>
      <c r="D48" s="19" t="n">
        <v>652</v>
      </c>
      <c r="E48" s="18" t="n">
        <v>53.19064846</v>
      </c>
      <c r="F48" s="20" t="n">
        <v>2.22709524</v>
      </c>
      <c r="G48" s="18" t="n">
        <v>43.66289046</v>
      </c>
      <c r="H48" s="20" t="n">
        <v>2.31063084</v>
      </c>
      <c r="I48" s="18" t="s">
        <v>349</v>
      </c>
      <c r="J48" s="20" t="s">
        <v>349</v>
      </c>
      <c r="K48" s="18" t="n">
        <v>0.21824391</v>
      </c>
      <c r="L48" s="20" t="n">
        <v>0.20665974</v>
      </c>
      <c r="M48" s="18" t="n">
        <v>0.11447312</v>
      </c>
      <c r="N48" s="20" t="n">
        <v>0.11442511</v>
      </c>
      <c r="O48" s="18" t="n">
        <v>0</v>
      </c>
      <c r="P48" s="20" t="n">
        <v>0</v>
      </c>
      <c r="Q48" s="18" t="n">
        <v>2.81374404</v>
      </c>
      <c r="R48" s="20" t="n">
        <v>0.88875712</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(2465.0/B52*100)</f>
        <v/>
      </c>
      <c r="D52" s="19" t="n">
        <v>331</v>
      </c>
      <c r="E52" s="18" t="n">
        <v>55.06615922</v>
      </c>
      <c r="F52" s="20" t="n">
        <v>2.67450043</v>
      </c>
      <c r="G52" s="18" t="n">
        <v>29.6294282</v>
      </c>
      <c r="H52" s="20" t="n">
        <v>2.53516525</v>
      </c>
      <c r="I52" s="18" t="s">
        <v>349</v>
      </c>
      <c r="J52" s="20" t="s">
        <v>349</v>
      </c>
      <c r="K52" s="18" t="n">
        <v>0.61994119</v>
      </c>
      <c r="L52" s="20" t="n">
        <v>0.42626813</v>
      </c>
      <c r="M52" s="18" t="n">
        <v>0</v>
      </c>
      <c r="N52" s="20" t="n">
        <v>0</v>
      </c>
      <c r="O52" s="18" t="n">
        <v>0</v>
      </c>
      <c r="P52" s="20" t="n">
        <v>0</v>
      </c>
      <c r="Q52" s="18" t="n">
        <v>14.68447139</v>
      </c>
      <c r="R52" s="20" t="n">
        <v>2.14122145</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45.34119247</v>
      </c>
      <c r="F56" s="20" t="n">
        <v>3.3893001</v>
      </c>
      <c r="G56" s="18" t="n">
        <v>48.57314957</v>
      </c>
      <c r="H56" s="20" t="n">
        <v>3.6146501</v>
      </c>
      <c r="I56" s="18" t="s">
        <v>349</v>
      </c>
      <c r="J56" s="20" t="s">
        <v>349</v>
      </c>
      <c r="K56" s="18" t="n">
        <v>0.53494455</v>
      </c>
      <c r="L56" s="20" t="n">
        <v>0.58629277</v>
      </c>
      <c r="M56" s="18" t="n">
        <v>0</v>
      </c>
      <c r="N56" s="20" t="n">
        <v>0</v>
      </c>
      <c r="O56" s="18" t="n">
        <v>0</v>
      </c>
      <c r="P56" s="20" t="n">
        <v>0</v>
      </c>
      <c r="Q56" s="18" t="n">
        <v>5.55071341</v>
      </c>
      <c r="R56" s="20" t="n">
        <v>1.19129114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(2888.0/B61*100)</f>
        <v/>
      </c>
      <c r="D61" s="19" t="n">
        <v>436</v>
      </c>
      <c r="E61" s="18" t="n">
        <v>71.08399905</v>
      </c>
      <c r="F61" s="20" t="n">
        <v>2.31410799</v>
      </c>
      <c r="G61" s="18" t="n">
        <v>21.20658454</v>
      </c>
      <c r="H61" s="20" t="n">
        <v>2.12116718</v>
      </c>
      <c r="I61" s="18" t="s">
        <v>349</v>
      </c>
      <c r="J61" s="20" t="s">
        <v>349</v>
      </c>
      <c r="K61" s="18" t="n">
        <v>0</v>
      </c>
      <c r="L61" s="20" t="n">
        <v>0</v>
      </c>
      <c r="M61" s="18" t="n">
        <v>0</v>
      </c>
      <c r="N61" s="20" t="n">
        <v>0</v>
      </c>
      <c r="O61" s="18" t="n">
        <v>0</v>
      </c>
      <c r="P61" s="20" t="n">
        <v>0</v>
      </c>
      <c r="Q61" s="18" t="n">
        <v>7.70941641</v>
      </c>
      <c r="R61" s="20" t="n">
        <v>1.26633637</v>
      </c>
    </row>
    <row r="62" spans="1:18">
      <c r="A62" s="15" t="s">
        <v>404</v>
      </c>
      <c r="B62" s="17" t="n">
        <v>2246</v>
      </c>
      <c r="C62" s="18">
        <f>(1969.0/B62*100)</f>
        <v/>
      </c>
      <c r="D62" s="19" t="n">
        <v>277</v>
      </c>
      <c r="E62" s="18" t="n">
        <v>53.76814325</v>
      </c>
      <c r="F62" s="20" t="n">
        <v>2.86491676</v>
      </c>
      <c r="G62" s="18" t="n">
        <v>42.23184786</v>
      </c>
      <c r="H62" s="20" t="n">
        <v>2.9999035</v>
      </c>
      <c r="I62" s="18" t="s">
        <v>349</v>
      </c>
      <c r="J62" s="20" t="s">
        <v>349</v>
      </c>
      <c r="K62" s="18" t="n">
        <v>0</v>
      </c>
      <c r="L62" s="20" t="n">
        <v>0</v>
      </c>
      <c r="M62" s="18" t="n">
        <v>0</v>
      </c>
      <c r="N62" s="20" t="n">
        <v>0</v>
      </c>
      <c r="O62" s="18" t="n">
        <v>0</v>
      </c>
      <c r="P62" s="20" t="n">
        <v>0</v>
      </c>
      <c r="Q62" s="18" t="n">
        <v>4.00000889</v>
      </c>
      <c r="R62" s="20" t="n">
        <v>1.21602412</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(2527.0/B66*100)</f>
        <v/>
      </c>
      <c r="D66" s="19" t="n">
        <v>367</v>
      </c>
      <c r="E66" s="18" t="n">
        <v>64.22281048000001</v>
      </c>
      <c r="F66" s="20" t="n">
        <v>2.53325151</v>
      </c>
      <c r="G66" s="18" t="n">
        <v>15.36201793</v>
      </c>
      <c r="H66" s="20" t="n">
        <v>2.22537234</v>
      </c>
      <c r="I66" s="18" t="s">
        <v>349</v>
      </c>
      <c r="J66" s="20" t="s">
        <v>349</v>
      </c>
      <c r="K66" s="18" t="n">
        <v>0.71917272</v>
      </c>
      <c r="L66" s="20" t="n">
        <v>0.42043964</v>
      </c>
      <c r="M66" s="18" t="n">
        <v>0</v>
      </c>
      <c r="N66" s="20" t="n">
        <v>0</v>
      </c>
      <c r="O66" s="18" t="n">
        <v>0</v>
      </c>
      <c r="P66" s="20" t="n">
        <v>0</v>
      </c>
      <c r="Q66" s="18" t="n">
        <v>19.69599887</v>
      </c>
      <c r="R66" s="20" t="n">
        <v>1.9144025</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(5023.0/B68*100)</f>
        <v/>
      </c>
      <c r="D68" s="19" t="n">
        <v>1026</v>
      </c>
      <c r="E68" s="18" t="n">
        <v>67.54179560999999</v>
      </c>
      <c r="F68" s="20" t="n">
        <v>1.28116033</v>
      </c>
      <c r="G68" s="18" t="n">
        <v>17.14178426</v>
      </c>
      <c r="H68" s="20" t="n">
        <v>1.10884241</v>
      </c>
      <c r="I68" s="18" t="s">
        <v>349</v>
      </c>
      <c r="J68" s="20" t="s">
        <v>349</v>
      </c>
      <c r="K68" s="18" t="n">
        <v>1.72503709</v>
      </c>
      <c r="L68" s="20" t="n">
        <v>0.34771222</v>
      </c>
      <c r="M68" s="18" t="n">
        <v>0</v>
      </c>
      <c r="N68" s="20" t="n">
        <v>0</v>
      </c>
      <c r="O68" s="18" t="n">
        <v>0</v>
      </c>
      <c r="P68" s="20" t="n">
        <v>0</v>
      </c>
      <c r="Q68" s="18" t="n">
        <v>13.59138304</v>
      </c>
      <c r="R68" s="20" t="n">
        <v>0.99526901</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(2562.0/B70*100)</f>
        <v/>
      </c>
      <c r="D70" s="19" t="n">
        <v>367</v>
      </c>
      <c r="E70" s="18" t="n">
        <v>53.04233935</v>
      </c>
      <c r="F70" s="20" t="n">
        <v>3.43145695</v>
      </c>
      <c r="G70" s="18" t="n">
        <v>39.03162475</v>
      </c>
      <c r="H70" s="20" t="n">
        <v>3.330511</v>
      </c>
      <c r="I70" s="18" t="s">
        <v>349</v>
      </c>
      <c r="J70" s="20" t="s">
        <v>349</v>
      </c>
      <c r="K70" s="18" t="n">
        <v>0</v>
      </c>
      <c r="L70" s="20" t="n">
        <v>0</v>
      </c>
      <c r="M70" s="18" t="n">
        <v>0.92947576</v>
      </c>
      <c r="N70" s="20" t="n">
        <v>0.49257228</v>
      </c>
      <c r="O70" s="18" t="n">
        <v>0</v>
      </c>
      <c r="P70" s="20" t="n">
        <v>0</v>
      </c>
      <c r="Q70" s="18" t="n">
        <v>6.99656014</v>
      </c>
      <c r="R70" s="20" t="n">
        <v>1.86344877</v>
      </c>
    </row>
    <row r="71" spans="1:18">
      <c r="A71" s="15" t="s">
        <v>413</v>
      </c>
      <c r="B71" s="17" t="n">
        <v>3142</v>
      </c>
      <c r="C71" s="18">
        <f>(2753.0/B71*100)</f>
        <v/>
      </c>
      <c r="D71" s="19" t="n">
        <v>389</v>
      </c>
      <c r="E71" s="18" t="n">
        <v>30.76445944</v>
      </c>
      <c r="F71" s="20" t="n">
        <v>2.07403611</v>
      </c>
      <c r="G71" s="18" t="n">
        <v>65.64921812999999</v>
      </c>
      <c r="H71" s="20" t="n">
        <v>2.22458618</v>
      </c>
      <c r="I71" s="18" t="s">
        <v>349</v>
      </c>
      <c r="J71" s="20" t="s">
        <v>349</v>
      </c>
      <c r="K71" s="18" t="n">
        <v>0.23934479</v>
      </c>
      <c r="L71" s="20" t="n">
        <v>0.24443143</v>
      </c>
      <c r="M71" s="18" t="n">
        <v>0</v>
      </c>
      <c r="N71" s="20" t="n">
        <v>0</v>
      </c>
      <c r="O71" s="18" t="n">
        <v>0</v>
      </c>
      <c r="P71" s="20" t="n">
        <v>0</v>
      </c>
      <c r="Q71" s="18" t="n">
        <v>3.34697763</v>
      </c>
      <c r="R71" s="20" t="n">
        <v>0.89953712</v>
      </c>
    </row>
    <row r="72" spans="1:18">
      <c r="A72" s="15" t="s">
        <v>414</v>
      </c>
      <c r="B72" s="17" t="n">
        <v>3889</v>
      </c>
      <c r="C72" s="18">
        <f>(3415.0/B72*100)</f>
        <v/>
      </c>
      <c r="D72" s="19" t="n">
        <v>474</v>
      </c>
      <c r="E72" s="18" t="n">
        <v>38.29421947</v>
      </c>
      <c r="F72" s="20" t="n">
        <v>2.48570255</v>
      </c>
      <c r="G72" s="18" t="n">
        <v>57.3522234</v>
      </c>
      <c r="H72" s="20" t="n">
        <v>2.52743031</v>
      </c>
      <c r="I72" s="18" t="s">
        <v>349</v>
      </c>
      <c r="J72" s="20" t="s">
        <v>349</v>
      </c>
      <c r="K72" s="18" t="n">
        <v>0.28816594</v>
      </c>
      <c r="L72" s="20" t="n">
        <v>0.28731653</v>
      </c>
      <c r="M72" s="18" t="n">
        <v>0</v>
      </c>
      <c r="N72" s="20" t="n">
        <v>0</v>
      </c>
      <c r="O72" s="18" t="n">
        <v>0</v>
      </c>
      <c r="P72" s="20" t="n">
        <v>0</v>
      </c>
      <c r="Q72" s="18" t="n">
        <v>4.0653912</v>
      </c>
      <c r="R72" s="20" t="n">
        <v>0.96946224</v>
      </c>
    </row>
    <row r="73" spans="1:18">
      <c r="A73" s="15" t="s">
        <v>415</v>
      </c>
      <c r="B73" s="17" t="n">
        <v>3597</v>
      </c>
      <c r="C73" s="18">
        <f>(3131.0/B73*100)</f>
        <v/>
      </c>
      <c r="D73" s="19" t="n">
        <v>466</v>
      </c>
      <c r="E73" s="18" t="n">
        <v>81.49697433</v>
      </c>
      <c r="F73" s="20" t="n">
        <v>2.70571489</v>
      </c>
      <c r="G73" s="18" t="n">
        <v>14.903978</v>
      </c>
      <c r="H73" s="20" t="n">
        <v>2.62443712</v>
      </c>
      <c r="I73" s="18" t="s">
        <v>349</v>
      </c>
      <c r="J73" s="20" t="s">
        <v>349</v>
      </c>
      <c r="K73" s="18" t="n">
        <v>0</v>
      </c>
      <c r="L73" s="20" t="n">
        <v>0</v>
      </c>
      <c r="M73" s="18" t="n">
        <v>0</v>
      </c>
      <c r="N73" s="20" t="n">
        <v>0</v>
      </c>
      <c r="O73" s="18" t="n">
        <v>0</v>
      </c>
      <c r="P73" s="20" t="n">
        <v>0</v>
      </c>
      <c r="Q73" s="18" t="n">
        <v>3.59904767</v>
      </c>
      <c r="R73" s="20" t="n">
        <v>1.27675243</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(3647.0/B81*100)</f>
        <v/>
      </c>
      <c r="D81" s="19" t="n">
        <v>516</v>
      </c>
      <c r="E81" s="18" t="n">
        <v>60.11449972</v>
      </c>
      <c r="F81" s="20" t="n">
        <v>2.49353152</v>
      </c>
      <c r="G81" s="18" t="n">
        <v>35.13884093</v>
      </c>
      <c r="H81" s="20" t="n">
        <v>2.35757021</v>
      </c>
      <c r="I81" s="18" t="s">
        <v>349</v>
      </c>
      <c r="J81" s="20" t="s">
        <v>349</v>
      </c>
      <c r="K81" s="18" t="n">
        <v>0.01975617</v>
      </c>
      <c r="L81" s="20" t="n">
        <v>0.67005654</v>
      </c>
      <c r="M81" s="18" t="n">
        <v>0</v>
      </c>
      <c r="N81" s="20" t="n">
        <v>0</v>
      </c>
      <c r="O81" s="18" t="n">
        <v>0</v>
      </c>
      <c r="P81" s="20" t="n">
        <v>0</v>
      </c>
      <c r="Q81" s="18" t="n">
        <v>4.72690319</v>
      </c>
      <c r="R81" s="20" t="n">
        <v>1.1400524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(6479.0/B7*100)</f>
        <v/>
      </c>
      <c r="D7" s="19" t="n">
        <v>888</v>
      </c>
      <c r="E7" s="18" t="n">
        <v>19.41444173</v>
      </c>
      <c r="F7" s="20" t="n">
        <v>1.3093621</v>
      </c>
      <c r="G7" s="18" t="n">
        <v>77.68028413</v>
      </c>
      <c r="H7" s="20" t="n">
        <v>1.41974382</v>
      </c>
      <c r="I7" s="18" t="s">
        <v>349</v>
      </c>
      <c r="J7" s="20" t="s">
        <v>349</v>
      </c>
      <c r="K7" s="18" t="n">
        <v>0.68659048</v>
      </c>
      <c r="L7" s="20" t="n">
        <v>0.34383434</v>
      </c>
      <c r="M7" s="18" t="n">
        <v>0</v>
      </c>
      <c r="N7" s="20" t="n">
        <v>0</v>
      </c>
      <c r="O7" s="18" t="n">
        <v>0</v>
      </c>
      <c r="P7" s="20" t="n">
        <v>0</v>
      </c>
      <c r="Q7" s="18" t="n">
        <v>2.21868366</v>
      </c>
      <c r="R7" s="20" t="n">
        <v>0.6016253</v>
      </c>
    </row>
    <row r="8" spans="1:18">
      <c r="A8" s="15" t="s">
        <v>350</v>
      </c>
      <c r="B8" s="17" t="n">
        <v>3564</v>
      </c>
      <c r="C8" s="18">
        <f>(3158.0/B8*100)</f>
        <v/>
      </c>
      <c r="D8" s="19" t="n">
        <v>406</v>
      </c>
      <c r="E8" s="18" t="n">
        <v>10.22809085</v>
      </c>
      <c r="F8" s="20" t="n">
        <v>1.72056531</v>
      </c>
      <c r="G8" s="18" t="n">
        <v>87.68575475</v>
      </c>
      <c r="H8" s="20" t="n">
        <v>1.83649117</v>
      </c>
      <c r="I8" s="18" t="s">
        <v>349</v>
      </c>
      <c r="J8" s="20" t="s">
        <v>349</v>
      </c>
      <c r="K8" s="18" t="n">
        <v>0</v>
      </c>
      <c r="L8" s="20" t="n">
        <v>0</v>
      </c>
      <c r="M8" s="18" t="n">
        <v>0</v>
      </c>
      <c r="N8" s="20" t="n">
        <v>0</v>
      </c>
      <c r="O8" s="18" t="n">
        <v>0</v>
      </c>
      <c r="P8" s="20" t="n">
        <v>0</v>
      </c>
      <c r="Q8" s="18" t="n">
        <v>2.08615439</v>
      </c>
      <c r="R8" s="20" t="n">
        <v>0.71539063</v>
      </c>
    </row>
    <row r="9" spans="1:18">
      <c r="A9" s="15" t="s">
        <v>351</v>
      </c>
      <c r="B9" s="17" t="n">
        <v>4899</v>
      </c>
      <c r="C9" s="18">
        <f>(4310.0/B9*100)</f>
        <v/>
      </c>
      <c r="D9" s="19" t="n">
        <v>589</v>
      </c>
      <c r="E9" s="18" t="n">
        <v>17.44571575</v>
      </c>
      <c r="F9" s="20" t="n">
        <v>1.71760162</v>
      </c>
      <c r="G9" s="18" t="n">
        <v>80.82323441</v>
      </c>
      <c r="H9" s="20" t="n">
        <v>1.6905675</v>
      </c>
      <c r="I9" s="18" t="s">
        <v>349</v>
      </c>
      <c r="J9" s="20" t="s">
        <v>349</v>
      </c>
      <c r="K9" s="18" t="n">
        <v>0.6932942</v>
      </c>
      <c r="L9" s="20" t="n">
        <v>0.35694319</v>
      </c>
      <c r="M9" s="18" t="n">
        <v>0</v>
      </c>
      <c r="N9" s="20" t="n">
        <v>0</v>
      </c>
      <c r="O9" s="18" t="n">
        <v>0</v>
      </c>
      <c r="P9" s="20" t="n">
        <v>0</v>
      </c>
      <c r="Q9" s="18" t="n">
        <v>1.03775565</v>
      </c>
      <c r="R9" s="20" t="n">
        <v>0.40561386</v>
      </c>
    </row>
    <row r="10" spans="1:18">
      <c r="A10" s="15" t="s">
        <v>352</v>
      </c>
      <c r="B10" s="17" t="n">
        <v>10036</v>
      </c>
      <c r="C10" s="18">
        <f>(8807.0/B10*100)</f>
        <v/>
      </c>
      <c r="D10" s="19" t="n">
        <v>1229</v>
      </c>
      <c r="E10" s="18" t="n">
        <v>13.31540023</v>
      </c>
      <c r="F10" s="20" t="n">
        <v>1.258153</v>
      </c>
      <c r="G10" s="18" t="n">
        <v>85.75955961</v>
      </c>
      <c r="H10" s="20" t="n">
        <v>1.2993407</v>
      </c>
      <c r="I10" s="18" t="s">
        <v>349</v>
      </c>
      <c r="J10" s="20" t="s">
        <v>349</v>
      </c>
      <c r="K10" s="18" t="n">
        <v>0.34679361</v>
      </c>
      <c r="L10" s="20" t="n">
        <v>0.22012037</v>
      </c>
      <c r="M10" s="18" t="n">
        <v>0</v>
      </c>
      <c r="N10" s="20" t="n">
        <v>0</v>
      </c>
      <c r="O10" s="18" t="n">
        <v>0</v>
      </c>
      <c r="P10" s="20" t="n">
        <v>0</v>
      </c>
      <c r="Q10" s="18" t="n">
        <v>0.57824655</v>
      </c>
      <c r="R10" s="20" t="n">
        <v>0.29164488</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(3061.0/B12*100)</f>
        <v/>
      </c>
      <c r="D12" s="19" t="n">
        <v>411</v>
      </c>
      <c r="E12" s="18" t="n">
        <v>17.51398885</v>
      </c>
      <c r="F12" s="20" t="n">
        <v>2.22099124</v>
      </c>
      <c r="G12" s="18" t="n">
        <v>82.03607699</v>
      </c>
      <c r="H12" s="20" t="n">
        <v>2.26807911</v>
      </c>
      <c r="I12" s="18" t="s">
        <v>349</v>
      </c>
      <c r="J12" s="20" t="s">
        <v>349</v>
      </c>
      <c r="K12" s="18" t="n">
        <v>0</v>
      </c>
      <c r="L12" s="20" t="n">
        <v>0</v>
      </c>
      <c r="M12" s="18" t="n">
        <v>0</v>
      </c>
      <c r="N12" s="20" t="n">
        <v>0</v>
      </c>
      <c r="O12" s="18" t="n">
        <v>0</v>
      </c>
      <c r="P12" s="20" t="n">
        <v>0</v>
      </c>
      <c r="Q12" s="18" t="n">
        <v>0.44993416</v>
      </c>
      <c r="R12" s="20" t="n">
        <v>0.30749619</v>
      </c>
    </row>
    <row r="13" spans="1:18">
      <c r="A13" s="15" t="s">
        <v>355</v>
      </c>
      <c r="B13" s="17" t="n">
        <v>3559</v>
      </c>
      <c r="C13" s="18">
        <f>(3138.0/B13*100)</f>
        <v/>
      </c>
      <c r="D13" s="19" t="n">
        <v>421</v>
      </c>
      <c r="E13" s="18" t="n">
        <v>10.35074296</v>
      </c>
      <c r="F13" s="20" t="n">
        <v>1.51812129</v>
      </c>
      <c r="G13" s="18" t="n">
        <v>88.99106774000001</v>
      </c>
      <c r="H13" s="20" t="n">
        <v>1.56333007</v>
      </c>
      <c r="I13" s="18" t="s">
        <v>349</v>
      </c>
      <c r="J13" s="20" t="s">
        <v>349</v>
      </c>
      <c r="K13" s="18" t="n">
        <v>0.12086719</v>
      </c>
      <c r="L13" s="20" t="n">
        <v>0.12235614</v>
      </c>
      <c r="M13" s="18" t="n">
        <v>0</v>
      </c>
      <c r="N13" s="20" t="n">
        <v>0</v>
      </c>
      <c r="O13" s="18" t="n">
        <v>0</v>
      </c>
      <c r="P13" s="20" t="n">
        <v>0</v>
      </c>
      <c r="Q13" s="18" t="n">
        <v>0.53732211</v>
      </c>
      <c r="R13" s="20" t="n">
        <v>0.45648169</v>
      </c>
    </row>
    <row r="14" spans="1:18">
      <c r="A14" s="15" t="s">
        <v>356</v>
      </c>
      <c r="B14" s="17" t="n">
        <v>2799</v>
      </c>
      <c r="C14" s="18">
        <f>(2420.0/B14*100)</f>
        <v/>
      </c>
      <c r="D14" s="19" t="n">
        <v>379</v>
      </c>
      <c r="E14" s="18" t="n">
        <v>13.66282373</v>
      </c>
      <c r="F14" s="20" t="n">
        <v>1.88049087</v>
      </c>
      <c r="G14" s="18" t="n">
        <v>85.30380467000001</v>
      </c>
      <c r="H14" s="20" t="n">
        <v>1.93985402</v>
      </c>
      <c r="I14" s="18" t="s">
        <v>349</v>
      </c>
      <c r="J14" s="20" t="s">
        <v>349</v>
      </c>
      <c r="K14" s="18" t="n">
        <v>0.20705778</v>
      </c>
      <c r="L14" s="20" t="n">
        <v>0.20680148</v>
      </c>
      <c r="M14" s="18" t="n">
        <v>0</v>
      </c>
      <c r="N14" s="20" t="n">
        <v>0</v>
      </c>
      <c r="O14" s="18" t="n">
        <v>0</v>
      </c>
      <c r="P14" s="20" t="n">
        <v>0</v>
      </c>
      <c r="Q14" s="18" t="n">
        <v>0.82631382</v>
      </c>
      <c r="R14" s="20" t="n">
        <v>0.51763266</v>
      </c>
    </row>
    <row r="15" spans="1:18">
      <c r="A15" s="15" t="s">
        <v>357</v>
      </c>
      <c r="B15" s="17" t="n">
        <v>3019</v>
      </c>
      <c r="C15" s="18">
        <f>(2641.0/B15*100)</f>
        <v/>
      </c>
      <c r="D15" s="19" t="n">
        <v>378</v>
      </c>
      <c r="E15" s="18" t="n">
        <v>13.34246453</v>
      </c>
      <c r="F15" s="20" t="n">
        <v>1.79988768</v>
      </c>
      <c r="G15" s="18" t="n">
        <v>85.25346948000001</v>
      </c>
      <c r="H15" s="20" t="n">
        <v>1.79798768</v>
      </c>
      <c r="I15" s="18" t="s">
        <v>349</v>
      </c>
      <c r="J15" s="20" t="s">
        <v>349</v>
      </c>
      <c r="K15" s="18" t="n">
        <v>0.24505686</v>
      </c>
      <c r="L15" s="20" t="n">
        <v>0.24659692</v>
      </c>
      <c r="M15" s="18" t="n">
        <v>0</v>
      </c>
      <c r="N15" s="20" t="n">
        <v>0</v>
      </c>
      <c r="O15" s="18" t="n">
        <v>0</v>
      </c>
      <c r="P15" s="20" t="n">
        <v>0</v>
      </c>
      <c r="Q15" s="18" t="n">
        <v>1.15900913</v>
      </c>
      <c r="R15" s="20" t="n">
        <v>0.58972894</v>
      </c>
    </row>
    <row r="16" spans="1:18">
      <c r="A16" s="15" t="s">
        <v>358</v>
      </c>
      <c r="B16" s="17" t="n">
        <v>2997</v>
      </c>
      <c r="C16" s="18">
        <f>(2611.0/B16*100)</f>
        <v/>
      </c>
      <c r="D16" s="19" t="n">
        <v>386</v>
      </c>
      <c r="E16" s="18" t="n">
        <v>18.50738052</v>
      </c>
      <c r="F16" s="20" t="n">
        <v>1.87179082</v>
      </c>
      <c r="G16" s="18" t="n">
        <v>78.23691031</v>
      </c>
      <c r="H16" s="20" t="n">
        <v>2.06553352</v>
      </c>
      <c r="I16" s="18" t="s">
        <v>349</v>
      </c>
      <c r="J16" s="20" t="s">
        <v>349</v>
      </c>
      <c r="K16" s="18" t="n">
        <v>0.84727545</v>
      </c>
      <c r="L16" s="20" t="n">
        <v>0.5048367499999999</v>
      </c>
      <c r="M16" s="18" t="n">
        <v>0</v>
      </c>
      <c r="N16" s="20" t="n">
        <v>0</v>
      </c>
      <c r="O16" s="18" t="n">
        <v>0</v>
      </c>
      <c r="P16" s="20" t="n">
        <v>0</v>
      </c>
      <c r="Q16" s="18" t="n">
        <v>2.40843372</v>
      </c>
      <c r="R16" s="20" t="n">
        <v>0.78556042</v>
      </c>
    </row>
    <row r="17" spans="1:18">
      <c r="A17" s="15" t="s">
        <v>359</v>
      </c>
      <c r="B17" s="17" t="n">
        <v>3307</v>
      </c>
      <c r="C17" s="18">
        <f>(2913.0/B17*100)</f>
        <v/>
      </c>
      <c r="D17" s="19" t="n">
        <v>394</v>
      </c>
      <c r="E17" s="18" t="n">
        <v>9.77277979</v>
      </c>
      <c r="F17" s="20" t="n">
        <v>1.68156895</v>
      </c>
      <c r="G17" s="18" t="n">
        <v>89.10581352</v>
      </c>
      <c r="H17" s="20" t="n">
        <v>1.66765218</v>
      </c>
      <c r="I17" s="18" t="s">
        <v>349</v>
      </c>
      <c r="J17" s="20" t="s">
        <v>349</v>
      </c>
      <c r="K17" s="18" t="n">
        <v>0.20558453</v>
      </c>
      <c r="L17" s="20" t="n">
        <v>0.20115596</v>
      </c>
      <c r="M17" s="18" t="n">
        <v>0</v>
      </c>
      <c r="N17" s="20" t="n">
        <v>0</v>
      </c>
      <c r="O17" s="18" t="n">
        <v>0</v>
      </c>
      <c r="P17" s="20" t="n">
        <v>0</v>
      </c>
      <c r="Q17" s="18" t="n">
        <v>0.9158221600000001</v>
      </c>
      <c r="R17" s="20" t="n">
        <v>0.5132230800000001</v>
      </c>
    </row>
    <row r="18" spans="1:18">
      <c r="A18" s="15" t="s">
        <v>360</v>
      </c>
      <c r="B18" s="17" t="n">
        <v>2826</v>
      </c>
      <c r="C18" s="18">
        <f>(2451.0/B18*100)</f>
        <v/>
      </c>
      <c r="D18" s="19" t="n">
        <v>375</v>
      </c>
      <c r="E18" s="18" t="n">
        <v>25.27364542</v>
      </c>
      <c r="F18" s="20" t="n">
        <v>2.82149162</v>
      </c>
      <c r="G18" s="18" t="n">
        <v>71.89663616</v>
      </c>
      <c r="H18" s="20" t="n">
        <v>2.89308876</v>
      </c>
      <c r="I18" s="18" t="s">
        <v>349</v>
      </c>
      <c r="J18" s="20" t="s">
        <v>349</v>
      </c>
      <c r="K18" s="18" t="n">
        <v>0.3661748</v>
      </c>
      <c r="L18" s="20" t="n">
        <v>0.36479011</v>
      </c>
      <c r="M18" s="18" t="n">
        <v>0</v>
      </c>
      <c r="N18" s="20" t="n">
        <v>0</v>
      </c>
      <c r="O18" s="18" t="n">
        <v>0</v>
      </c>
      <c r="P18" s="20" t="n">
        <v>0</v>
      </c>
      <c r="Q18" s="18" t="n">
        <v>2.46354362</v>
      </c>
      <c r="R18" s="20" t="n">
        <v>0.95040146</v>
      </c>
    </row>
    <row r="19" spans="1:18">
      <c r="A19" s="15" t="s">
        <v>361</v>
      </c>
      <c r="B19" s="17" t="n">
        <v>2808</v>
      </c>
      <c r="C19" s="18">
        <f>(2478.0/B19*100)</f>
        <v/>
      </c>
      <c r="D19" s="19" t="n">
        <v>330</v>
      </c>
      <c r="E19" s="18" t="n">
        <v>21.27101335</v>
      </c>
      <c r="F19" s="20" t="n">
        <v>2.17445388</v>
      </c>
      <c r="G19" s="18" t="n">
        <v>77.87952478</v>
      </c>
      <c r="H19" s="20" t="n">
        <v>2.23274073</v>
      </c>
      <c r="I19" s="18" t="s">
        <v>349</v>
      </c>
      <c r="J19" s="20" t="s">
        <v>349</v>
      </c>
      <c r="K19" s="18" t="n">
        <v>0</v>
      </c>
      <c r="L19" s="20" t="n">
        <v>0</v>
      </c>
      <c r="M19" s="18" t="n">
        <v>0</v>
      </c>
      <c r="N19" s="20" t="n">
        <v>0</v>
      </c>
      <c r="O19" s="18" t="n">
        <v>0</v>
      </c>
      <c r="P19" s="20" t="n">
        <v>0</v>
      </c>
      <c r="Q19" s="18" t="n">
        <v>0.84946187</v>
      </c>
      <c r="R19" s="20" t="n">
        <v>0.47173268</v>
      </c>
    </row>
    <row r="20" spans="1:18">
      <c r="A20" s="15" t="s">
        <v>362</v>
      </c>
      <c r="B20" s="17" t="n">
        <v>1630</v>
      </c>
      <c r="C20" s="18">
        <f>(1430.0/B20*100)</f>
        <v/>
      </c>
      <c r="D20" s="19" t="n">
        <v>200</v>
      </c>
      <c r="E20" s="18" t="n">
        <v>15.61581929</v>
      </c>
      <c r="F20" s="20" t="n">
        <v>2.39545229</v>
      </c>
      <c r="G20" s="18" t="n">
        <v>81.98199337</v>
      </c>
      <c r="H20" s="20" t="n">
        <v>2.48420179</v>
      </c>
      <c r="I20" s="18" t="s">
        <v>349</v>
      </c>
      <c r="J20" s="20" t="s">
        <v>349</v>
      </c>
      <c r="K20" s="18" t="n">
        <v>1.96509801</v>
      </c>
      <c r="L20" s="20" t="n">
        <v>0.95636737</v>
      </c>
      <c r="M20" s="18" t="n">
        <v>0</v>
      </c>
      <c r="N20" s="20" t="n">
        <v>0</v>
      </c>
      <c r="O20" s="18" t="n">
        <v>0</v>
      </c>
      <c r="P20" s="20" t="n">
        <v>0</v>
      </c>
      <c r="Q20" s="18" t="n">
        <v>0.43708932</v>
      </c>
      <c r="R20" s="20" t="n">
        <v>0.44256006</v>
      </c>
    </row>
    <row r="21" spans="1:18">
      <c r="A21" s="15" t="s">
        <v>363</v>
      </c>
      <c r="B21" s="17" t="n">
        <v>2908</v>
      </c>
      <c r="C21" s="18">
        <f>(2420.0/B21*100)</f>
        <v/>
      </c>
      <c r="D21" s="19" t="n">
        <v>488</v>
      </c>
      <c r="E21" s="18" t="n">
        <v>14.8192098</v>
      </c>
      <c r="F21" s="20" t="n">
        <v>1.71237528</v>
      </c>
      <c r="G21" s="18" t="n">
        <v>83.98362983</v>
      </c>
      <c r="H21" s="20" t="n">
        <v>1.87269032</v>
      </c>
      <c r="I21" s="18" t="s">
        <v>349</v>
      </c>
      <c r="J21" s="20" t="s">
        <v>349</v>
      </c>
      <c r="K21" s="18" t="n">
        <v>0.3249278</v>
      </c>
      <c r="L21" s="20" t="n">
        <v>0.31325374</v>
      </c>
      <c r="M21" s="18" t="n">
        <v>0</v>
      </c>
      <c r="N21" s="20" t="n">
        <v>0</v>
      </c>
      <c r="O21" s="18" t="n">
        <v>0</v>
      </c>
      <c r="P21" s="20" t="n">
        <v>0</v>
      </c>
      <c r="Q21" s="18" t="n">
        <v>0.87223257</v>
      </c>
      <c r="R21" s="20" t="n">
        <v>0.44890542</v>
      </c>
    </row>
    <row r="22" spans="1:18">
      <c r="A22" s="15" t="s">
        <v>364</v>
      </c>
      <c r="B22" s="17" t="n">
        <v>2931</v>
      </c>
      <c r="C22" s="18">
        <f>(2577.0/B22*100)</f>
        <v/>
      </c>
      <c r="D22" s="19" t="n">
        <v>354</v>
      </c>
      <c r="E22" s="18" t="n">
        <v>25.0901421</v>
      </c>
      <c r="F22" s="20" t="n">
        <v>3.13154173</v>
      </c>
      <c r="G22" s="18" t="n">
        <v>72.95105900999999</v>
      </c>
      <c r="H22" s="20" t="n">
        <v>3.24553497</v>
      </c>
      <c r="I22" s="18" t="s">
        <v>349</v>
      </c>
      <c r="J22" s="20" t="s">
        <v>349</v>
      </c>
      <c r="K22" s="18" t="n">
        <v>0.58204227</v>
      </c>
      <c r="L22" s="20" t="n">
        <v>0.38260467</v>
      </c>
      <c r="M22" s="18" t="n">
        <v>0</v>
      </c>
      <c r="N22" s="20" t="n">
        <v>0</v>
      </c>
      <c r="O22" s="18" t="n">
        <v>0</v>
      </c>
      <c r="P22" s="20" t="n">
        <v>0</v>
      </c>
      <c r="Q22" s="18" t="n">
        <v>1.37675663</v>
      </c>
      <c r="R22" s="20" t="n">
        <v>0.53948694</v>
      </c>
    </row>
    <row r="23" spans="1:18">
      <c r="A23" s="15" t="s">
        <v>365</v>
      </c>
      <c r="B23" s="17" t="n">
        <v>5791</v>
      </c>
      <c r="C23" s="18">
        <f>(5092.0/B23*100)</f>
        <v/>
      </c>
      <c r="D23" s="19" t="n">
        <v>699</v>
      </c>
      <c r="E23" s="18" t="n">
        <v>13.26023114</v>
      </c>
      <c r="F23" s="20" t="n">
        <v>1.58484628</v>
      </c>
      <c r="G23" s="18" t="n">
        <v>85.47548184999999</v>
      </c>
      <c r="H23" s="20" t="n">
        <v>1.67967789</v>
      </c>
      <c r="I23" s="18" t="s">
        <v>349</v>
      </c>
      <c r="J23" s="20" t="s">
        <v>349</v>
      </c>
      <c r="K23" s="18" t="n">
        <v>0.3493419</v>
      </c>
      <c r="L23" s="20" t="n">
        <v>0.29171026</v>
      </c>
      <c r="M23" s="18" t="n">
        <v>0</v>
      </c>
      <c r="N23" s="20" t="n">
        <v>0</v>
      </c>
      <c r="O23" s="18" t="n">
        <v>0</v>
      </c>
      <c r="P23" s="20" t="n">
        <v>0</v>
      </c>
      <c r="Q23" s="18" t="n">
        <v>0.91494511</v>
      </c>
      <c r="R23" s="20" t="n">
        <v>0.47091713</v>
      </c>
    </row>
    <row r="24" spans="1:18">
      <c r="A24" s="15" t="s">
        <v>366</v>
      </c>
      <c r="B24" s="17" t="n">
        <v>3338</v>
      </c>
      <c r="C24" s="18">
        <f>(2916.0/B24*100)</f>
        <v/>
      </c>
      <c r="D24" s="19" t="n">
        <v>422</v>
      </c>
      <c r="E24" s="18" t="n">
        <v>14.31118419</v>
      </c>
      <c r="F24" s="20" t="n">
        <v>1.48001617</v>
      </c>
      <c r="G24" s="18" t="n">
        <v>84.15098881999999</v>
      </c>
      <c r="H24" s="20" t="n">
        <v>1.51554475</v>
      </c>
      <c r="I24" s="18" t="s">
        <v>349</v>
      </c>
      <c r="J24" s="20" t="s">
        <v>349</v>
      </c>
      <c r="K24" s="18" t="n">
        <v>0.41756029</v>
      </c>
      <c r="L24" s="20" t="n">
        <v>0.29808838</v>
      </c>
      <c r="M24" s="18" t="n">
        <v>0</v>
      </c>
      <c r="N24" s="20" t="n">
        <v>0</v>
      </c>
      <c r="O24" s="18" t="n">
        <v>0</v>
      </c>
      <c r="P24" s="20" t="n">
        <v>0</v>
      </c>
      <c r="Q24" s="18" t="n">
        <v>1.1202667</v>
      </c>
      <c r="R24" s="20" t="n">
        <v>0.49857937</v>
      </c>
    </row>
    <row r="25" spans="1:18">
      <c r="A25" s="15" t="s">
        <v>367</v>
      </c>
      <c r="B25" s="17" t="n">
        <v>2912</v>
      </c>
      <c r="C25" s="18">
        <f>(2542.0/B25*100)</f>
        <v/>
      </c>
      <c r="D25" s="19" t="n">
        <v>370</v>
      </c>
      <c r="E25" s="18" t="n">
        <v>19.14122971</v>
      </c>
      <c r="F25" s="20" t="n">
        <v>2.00190199</v>
      </c>
      <c r="G25" s="18" t="n">
        <v>79.27948141</v>
      </c>
      <c r="H25" s="20" t="n">
        <v>2.17813882</v>
      </c>
      <c r="I25" s="18" t="s">
        <v>349</v>
      </c>
      <c r="J25" s="20" t="s">
        <v>349</v>
      </c>
      <c r="K25" s="18" t="n">
        <v>0</v>
      </c>
      <c r="L25" s="20" t="n">
        <v>0</v>
      </c>
      <c r="M25" s="18" t="n">
        <v>0</v>
      </c>
      <c r="N25" s="20" t="n">
        <v>0</v>
      </c>
      <c r="O25" s="18" t="n">
        <v>0</v>
      </c>
      <c r="P25" s="20" t="n">
        <v>0</v>
      </c>
      <c r="Q25" s="18" t="n">
        <v>1.57928887</v>
      </c>
      <c r="R25" s="20" t="n">
        <v>0.73172874</v>
      </c>
    </row>
    <row r="26" spans="1:18">
      <c r="A26" s="15" t="s">
        <v>368</v>
      </c>
      <c r="B26" s="17" t="n">
        <v>2450</v>
      </c>
      <c r="C26" s="18">
        <f>(2163.0/B26*100)</f>
        <v/>
      </c>
      <c r="D26" s="19" t="n">
        <v>287</v>
      </c>
      <c r="E26" s="18" t="n">
        <v>20.38955801</v>
      </c>
      <c r="F26" s="20" t="n">
        <v>2.42451907</v>
      </c>
      <c r="G26" s="18" t="n">
        <v>78.79312369</v>
      </c>
      <c r="H26" s="20" t="n">
        <v>2.49935651</v>
      </c>
      <c r="I26" s="18" t="s">
        <v>349</v>
      </c>
      <c r="J26" s="20" t="s">
        <v>349</v>
      </c>
      <c r="K26" s="18" t="n">
        <v>0</v>
      </c>
      <c r="L26" s="20" t="n">
        <v>0</v>
      </c>
      <c r="M26" s="18" t="n">
        <v>0</v>
      </c>
      <c r="N26" s="20" t="n">
        <v>0</v>
      </c>
      <c r="O26" s="18" t="n">
        <v>0</v>
      </c>
      <c r="P26" s="20" t="n">
        <v>0</v>
      </c>
      <c r="Q26" s="18" t="n">
        <v>0.8173183000000001</v>
      </c>
      <c r="R26" s="20" t="n">
        <v>0.47608072</v>
      </c>
    </row>
    <row r="27" spans="1:18">
      <c r="A27" s="15" t="s">
        <v>369</v>
      </c>
      <c r="B27" s="17" t="n">
        <v>2616</v>
      </c>
      <c r="C27" s="18">
        <f>(2292.0/B27*100)</f>
        <v/>
      </c>
      <c r="D27" s="19" t="n">
        <v>324</v>
      </c>
      <c r="E27" s="18" t="n">
        <v>21.03840147</v>
      </c>
      <c r="F27" s="20" t="n">
        <v>2.35133788</v>
      </c>
      <c r="G27" s="18" t="n">
        <v>77.71190271</v>
      </c>
      <c r="H27" s="20" t="n">
        <v>2.39264715</v>
      </c>
      <c r="I27" s="18" t="s">
        <v>349</v>
      </c>
      <c r="J27" s="20" t="s">
        <v>349</v>
      </c>
      <c r="K27" s="18" t="n">
        <v>0.31492604</v>
      </c>
      <c r="L27" s="20" t="n">
        <v>0.31259737</v>
      </c>
      <c r="M27" s="18" t="n">
        <v>0</v>
      </c>
      <c r="N27" s="20" t="n">
        <v>0</v>
      </c>
      <c r="O27" s="18" t="n">
        <v>0</v>
      </c>
      <c r="P27" s="20" t="n">
        <v>0</v>
      </c>
      <c r="Q27" s="18" t="n">
        <v>0.93476978</v>
      </c>
      <c r="R27" s="20" t="n">
        <v>0.5512772500000001</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(2347.0/B29*100)</f>
        <v/>
      </c>
      <c r="D29" s="19" t="n">
        <v>338</v>
      </c>
      <c r="E29" s="18" t="n">
        <v>12.89941468</v>
      </c>
      <c r="F29" s="20" t="n">
        <v>2.08102566</v>
      </c>
      <c r="G29" s="18" t="n">
        <v>85.22633926</v>
      </c>
      <c r="H29" s="20" t="n">
        <v>2.31461662</v>
      </c>
      <c r="I29" s="18" t="s">
        <v>349</v>
      </c>
      <c r="J29" s="20" t="s">
        <v>349</v>
      </c>
      <c r="K29" s="18" t="n">
        <v>0.58624698</v>
      </c>
      <c r="L29" s="20" t="n">
        <v>0.4272953</v>
      </c>
      <c r="M29" s="18" t="n">
        <v>0</v>
      </c>
      <c r="N29" s="20" t="n">
        <v>0</v>
      </c>
      <c r="O29" s="18" t="n">
        <v>0</v>
      </c>
      <c r="P29" s="20" t="n">
        <v>0</v>
      </c>
      <c r="Q29" s="18" t="n">
        <v>1.28799908</v>
      </c>
      <c r="R29" s="20" t="n">
        <v>0.70744643</v>
      </c>
    </row>
    <row r="30" spans="1:18">
      <c r="A30" s="15" t="s">
        <v>372</v>
      </c>
      <c r="B30" s="17" t="n">
        <v>2263</v>
      </c>
      <c r="C30" s="18">
        <f>(2007.0/B30*100)</f>
        <v/>
      </c>
      <c r="D30" s="19" t="n">
        <v>256</v>
      </c>
      <c r="E30" s="18" t="n">
        <v>17.15403802</v>
      </c>
      <c r="F30" s="20" t="n">
        <v>2.17000392</v>
      </c>
      <c r="G30" s="18" t="n">
        <v>81.94599685999999</v>
      </c>
      <c r="H30" s="20" t="n">
        <v>2.21739064</v>
      </c>
      <c r="I30" s="18" t="s">
        <v>349</v>
      </c>
      <c r="J30" s="20" t="s">
        <v>349</v>
      </c>
      <c r="K30" s="18" t="n">
        <v>0</v>
      </c>
      <c r="L30" s="20" t="n">
        <v>0</v>
      </c>
      <c r="M30" s="18" t="n">
        <v>0</v>
      </c>
      <c r="N30" s="20" t="n">
        <v>0</v>
      </c>
      <c r="O30" s="18" t="n">
        <v>0</v>
      </c>
      <c r="P30" s="20" t="n">
        <v>0</v>
      </c>
      <c r="Q30" s="18" t="n">
        <v>0.89996512</v>
      </c>
      <c r="R30" s="20" t="n">
        <v>0.6536040400000001</v>
      </c>
    </row>
    <row r="31" spans="1:18">
      <c r="A31" s="15" t="s">
        <v>373</v>
      </c>
      <c r="B31" s="17" t="n">
        <v>2750</v>
      </c>
      <c r="C31" s="18">
        <f>(2394.0/B31*100)</f>
        <v/>
      </c>
      <c r="D31" s="19" t="n">
        <v>356</v>
      </c>
      <c r="E31" s="18" t="n">
        <v>10.97834763</v>
      </c>
      <c r="F31" s="20" t="n">
        <v>1.49840389</v>
      </c>
      <c r="G31" s="18" t="n">
        <v>87.34340051</v>
      </c>
      <c r="H31" s="20" t="n">
        <v>1.76951905</v>
      </c>
      <c r="I31" s="18" t="s">
        <v>349</v>
      </c>
      <c r="J31" s="20" t="s">
        <v>349</v>
      </c>
      <c r="K31" s="18" t="n">
        <v>0.55473615</v>
      </c>
      <c r="L31" s="20" t="n">
        <v>0.39858198</v>
      </c>
      <c r="M31" s="18" t="n">
        <v>0</v>
      </c>
      <c r="N31" s="20" t="n">
        <v>0</v>
      </c>
      <c r="O31" s="18" t="n">
        <v>0</v>
      </c>
      <c r="P31" s="20" t="n">
        <v>0</v>
      </c>
      <c r="Q31" s="18" t="n">
        <v>1.12351571</v>
      </c>
      <c r="R31" s="20" t="n">
        <v>0.5603185000000001</v>
      </c>
    </row>
    <row r="32" spans="1:18">
      <c r="A32" s="15" t="s">
        <v>374</v>
      </c>
      <c r="B32" s="17" t="n">
        <v>2269</v>
      </c>
      <c r="C32" s="18">
        <f>(1892.0/B32*100)</f>
        <v/>
      </c>
      <c r="D32" s="19" t="n">
        <v>377</v>
      </c>
      <c r="E32" s="18" t="n">
        <v>9.73355214</v>
      </c>
      <c r="F32" s="20" t="n">
        <v>1.61286769</v>
      </c>
      <c r="G32" s="18" t="n">
        <v>88.37116319</v>
      </c>
      <c r="H32" s="20" t="n">
        <v>1.91664753</v>
      </c>
      <c r="I32" s="18" t="s">
        <v>349</v>
      </c>
      <c r="J32" s="20" t="s">
        <v>349</v>
      </c>
      <c r="K32" s="18" t="n">
        <v>0.75536218</v>
      </c>
      <c r="L32" s="20" t="n">
        <v>0.41368598</v>
      </c>
      <c r="M32" s="18" t="n">
        <v>0</v>
      </c>
      <c r="N32" s="20" t="n">
        <v>0</v>
      </c>
      <c r="O32" s="18" t="n">
        <v>0</v>
      </c>
      <c r="P32" s="20" t="n">
        <v>0</v>
      </c>
      <c r="Q32" s="18" t="n">
        <v>1.13992249</v>
      </c>
      <c r="R32" s="20" t="n">
        <v>0.57039036</v>
      </c>
    </row>
    <row r="33" spans="1:18">
      <c r="A33" s="15" t="s">
        <v>375</v>
      </c>
      <c r="B33" s="17" t="n">
        <v>3674</v>
      </c>
      <c r="C33" s="18">
        <f>(3239.0/B33*100)</f>
        <v/>
      </c>
      <c r="D33" s="19" t="n">
        <v>435</v>
      </c>
      <c r="E33" s="18" t="n">
        <v>12.18417401</v>
      </c>
      <c r="F33" s="20" t="n">
        <v>1.67621576</v>
      </c>
      <c r="G33" s="18" t="n">
        <v>84.59794293</v>
      </c>
      <c r="H33" s="20" t="n">
        <v>1.80650788</v>
      </c>
      <c r="I33" s="18" t="s">
        <v>349</v>
      </c>
      <c r="J33" s="20" t="s">
        <v>349</v>
      </c>
      <c r="K33" s="18" t="n">
        <v>0.35066645</v>
      </c>
      <c r="L33" s="20" t="n">
        <v>0.35161319</v>
      </c>
      <c r="M33" s="18" t="n">
        <v>0</v>
      </c>
      <c r="N33" s="20" t="n">
        <v>0</v>
      </c>
      <c r="O33" s="18" t="n">
        <v>0</v>
      </c>
      <c r="P33" s="20" t="n">
        <v>0</v>
      </c>
      <c r="Q33" s="18" t="n">
        <v>2.86721661</v>
      </c>
      <c r="R33" s="20" t="n">
        <v>1.19416546</v>
      </c>
    </row>
    <row r="34" spans="1:18">
      <c r="A34" s="15" t="s">
        <v>376</v>
      </c>
      <c r="B34" s="17" t="n">
        <v>3315</v>
      </c>
      <c r="C34" s="18">
        <f>(2941.0/B34*100)</f>
        <v/>
      </c>
      <c r="D34" s="19" t="n">
        <v>374</v>
      </c>
      <c r="E34" s="18" t="n">
        <v>24.24949148</v>
      </c>
      <c r="F34" s="20" t="n">
        <v>2.44810575</v>
      </c>
      <c r="G34" s="18" t="n">
        <v>71.63374036</v>
      </c>
      <c r="H34" s="20" t="n">
        <v>2.51818553</v>
      </c>
      <c r="I34" s="18" t="s">
        <v>349</v>
      </c>
      <c r="J34" s="20" t="s">
        <v>349</v>
      </c>
      <c r="K34" s="18" t="n">
        <v>0.21479765</v>
      </c>
      <c r="L34" s="20" t="n">
        <v>0.21325797</v>
      </c>
      <c r="M34" s="18" t="n">
        <v>0</v>
      </c>
      <c r="N34" s="20" t="n">
        <v>0</v>
      </c>
      <c r="O34" s="18" t="n">
        <v>0</v>
      </c>
      <c r="P34" s="20" t="n">
        <v>0</v>
      </c>
      <c r="Q34" s="18" t="n">
        <v>3.90197051</v>
      </c>
      <c r="R34" s="20" t="n">
        <v>0.88009509</v>
      </c>
    </row>
    <row r="35" spans="1:18">
      <c r="A35" s="15" t="s">
        <v>377</v>
      </c>
      <c r="B35" s="17" t="n">
        <v>3505</v>
      </c>
      <c r="C35" s="18">
        <f>(3076.0/B35*100)</f>
        <v/>
      </c>
      <c r="D35" s="19" t="n">
        <v>429</v>
      </c>
      <c r="E35" s="18" t="n">
        <v>13.93783559</v>
      </c>
      <c r="F35" s="20" t="n">
        <v>2.01985325</v>
      </c>
      <c r="G35" s="18" t="n">
        <v>85.27391356</v>
      </c>
      <c r="H35" s="20" t="n">
        <v>2.05315125</v>
      </c>
      <c r="I35" s="18" t="s">
        <v>349</v>
      </c>
      <c r="J35" s="20" t="s">
        <v>349</v>
      </c>
      <c r="K35" s="18" t="n">
        <v>0.11420553</v>
      </c>
      <c r="L35" s="20" t="n">
        <v>0.11539944</v>
      </c>
      <c r="M35" s="18" t="n">
        <v>0</v>
      </c>
      <c r="N35" s="20" t="n">
        <v>0</v>
      </c>
      <c r="O35" s="18" t="n">
        <v>0</v>
      </c>
      <c r="P35" s="20" t="n">
        <v>0</v>
      </c>
      <c r="Q35" s="18" t="n">
        <v>0.6740453199999999</v>
      </c>
      <c r="R35" s="20" t="n">
        <v>0.26997629</v>
      </c>
    </row>
    <row r="36" spans="1:18">
      <c r="A36" s="15" t="s">
        <v>378</v>
      </c>
      <c r="B36" s="17" t="n">
        <v>3332</v>
      </c>
      <c r="C36" s="18">
        <f>(2927.0/B36*100)</f>
        <v/>
      </c>
      <c r="D36" s="19" t="n">
        <v>405</v>
      </c>
      <c r="E36" s="18" t="n">
        <v>18.83413721</v>
      </c>
      <c r="F36" s="20" t="n">
        <v>1.98204381</v>
      </c>
      <c r="G36" s="18" t="n">
        <v>79.35992228000001</v>
      </c>
      <c r="H36" s="20" t="n">
        <v>1.97441686</v>
      </c>
      <c r="I36" s="18" t="s">
        <v>349</v>
      </c>
      <c r="J36" s="20" t="s">
        <v>349</v>
      </c>
      <c r="K36" s="18" t="n">
        <v>0.63212863</v>
      </c>
      <c r="L36" s="20" t="n">
        <v>0.40365329</v>
      </c>
      <c r="M36" s="18" t="n">
        <v>0</v>
      </c>
      <c r="N36" s="20" t="n">
        <v>0</v>
      </c>
      <c r="O36" s="18" t="n">
        <v>0</v>
      </c>
      <c r="P36" s="20" t="n">
        <v>0</v>
      </c>
      <c r="Q36" s="18" t="n">
        <v>1.17381188</v>
      </c>
      <c r="R36" s="20" t="n">
        <v>0.57211699</v>
      </c>
    </row>
    <row r="37" spans="1:18">
      <c r="A37" s="15" t="s">
        <v>379</v>
      </c>
      <c r="B37" s="17" t="n">
        <v>2727</v>
      </c>
      <c r="C37" s="18">
        <f>(2402.0/B37*100)</f>
        <v/>
      </c>
      <c r="D37" s="19" t="n">
        <v>325</v>
      </c>
      <c r="E37" s="18" t="n">
        <v>15.45744618</v>
      </c>
      <c r="F37" s="20" t="n">
        <v>2.10081741</v>
      </c>
      <c r="G37" s="18" t="n">
        <v>82.34013256999999</v>
      </c>
      <c r="H37" s="20" t="n">
        <v>2.19263135</v>
      </c>
      <c r="I37" s="18" t="s">
        <v>349</v>
      </c>
      <c r="J37" s="20" t="s">
        <v>349</v>
      </c>
      <c r="K37" s="18" t="n">
        <v>0.72257981</v>
      </c>
      <c r="L37" s="20" t="n">
        <v>0.5559177</v>
      </c>
      <c r="M37" s="18" t="n">
        <v>0</v>
      </c>
      <c r="N37" s="20" t="n">
        <v>0</v>
      </c>
      <c r="O37" s="18" t="n">
        <v>0</v>
      </c>
      <c r="P37" s="20" t="n">
        <v>0</v>
      </c>
      <c r="Q37" s="18" t="n">
        <v>1.47984145</v>
      </c>
      <c r="R37" s="20" t="n">
        <v>0.65951971</v>
      </c>
    </row>
    <row r="38" spans="1:18">
      <c r="A38" s="15" t="s">
        <v>380</v>
      </c>
      <c r="B38" s="17" t="n">
        <v>3053</v>
      </c>
      <c r="C38" s="18">
        <f>(2552.0/B38*100)</f>
        <v/>
      </c>
      <c r="D38" s="19" t="n">
        <v>501</v>
      </c>
      <c r="E38" s="18" t="n">
        <v>11.96843459</v>
      </c>
      <c r="F38" s="20" t="n">
        <v>1.69771694</v>
      </c>
      <c r="G38" s="18" t="n">
        <v>86.60450663</v>
      </c>
      <c r="H38" s="20" t="n">
        <v>1.75842328</v>
      </c>
      <c r="I38" s="18" t="s">
        <v>349</v>
      </c>
      <c r="J38" s="20" t="s">
        <v>349</v>
      </c>
      <c r="K38" s="18" t="n">
        <v>0.44732454</v>
      </c>
      <c r="L38" s="20" t="n">
        <v>0.3026762</v>
      </c>
      <c r="M38" s="18" t="n">
        <v>0</v>
      </c>
      <c r="N38" s="20" t="n">
        <v>0</v>
      </c>
      <c r="O38" s="18" t="n">
        <v>0</v>
      </c>
      <c r="P38" s="20" t="n">
        <v>0</v>
      </c>
      <c r="Q38" s="18" t="n">
        <v>0.97973425</v>
      </c>
      <c r="R38" s="20" t="n">
        <v>0.4338228</v>
      </c>
    </row>
    <row r="39" spans="1:18">
      <c r="A39" s="15" t="s">
        <v>381</v>
      </c>
      <c r="B39" s="17" t="n">
        <v>2957</v>
      </c>
      <c r="C39" s="18">
        <f>(2581.0/B39*100)</f>
        <v/>
      </c>
      <c r="D39" s="19" t="n">
        <v>376</v>
      </c>
      <c r="E39" s="18" t="n">
        <v>30.43503596</v>
      </c>
      <c r="F39" s="20" t="n">
        <v>2.46794137</v>
      </c>
      <c r="G39" s="18" t="n">
        <v>68.18035388</v>
      </c>
      <c r="H39" s="20" t="n">
        <v>2.37529903</v>
      </c>
      <c r="I39" s="18" t="s">
        <v>349</v>
      </c>
      <c r="J39" s="20" t="s">
        <v>349</v>
      </c>
      <c r="K39" s="18" t="n">
        <v>0</v>
      </c>
      <c r="L39" s="20" t="n">
        <v>0</v>
      </c>
      <c r="M39" s="18" t="n">
        <v>0</v>
      </c>
      <c r="N39" s="20" t="n">
        <v>0</v>
      </c>
      <c r="O39" s="18" t="n">
        <v>0</v>
      </c>
      <c r="P39" s="20" t="n">
        <v>0</v>
      </c>
      <c r="Q39" s="18" t="n">
        <v>1.38461015</v>
      </c>
      <c r="R39" s="20" t="n">
        <v>0.53586616</v>
      </c>
    </row>
    <row r="40" spans="1:18">
      <c r="A40" s="15" t="s">
        <v>382</v>
      </c>
      <c r="B40" s="17" t="n">
        <v>7235</v>
      </c>
      <c r="C40" s="18">
        <f>(6369.0/B40*100)</f>
        <v/>
      </c>
      <c r="D40" s="19" t="n">
        <v>866</v>
      </c>
      <c r="E40" s="18" t="n">
        <v>20.06785976</v>
      </c>
      <c r="F40" s="20" t="n">
        <v>2.25999477</v>
      </c>
      <c r="G40" s="18" t="n">
        <v>79.09885149999999</v>
      </c>
      <c r="H40" s="20" t="n">
        <v>2.24791257</v>
      </c>
      <c r="I40" s="18" t="s">
        <v>349</v>
      </c>
      <c r="J40" s="20" t="s">
        <v>349</v>
      </c>
      <c r="K40" s="18" t="n">
        <v>0.30080382</v>
      </c>
      <c r="L40" s="20" t="n">
        <v>0.27189731</v>
      </c>
      <c r="M40" s="18" t="n">
        <v>0</v>
      </c>
      <c r="N40" s="20" t="n">
        <v>0</v>
      </c>
      <c r="O40" s="18" t="n">
        <v>0</v>
      </c>
      <c r="P40" s="20" t="n">
        <v>0</v>
      </c>
      <c r="Q40" s="18" t="n">
        <v>0.53248492</v>
      </c>
      <c r="R40" s="20" t="n">
        <v>0.2403999</v>
      </c>
    </row>
    <row r="41" spans="1:18">
      <c r="A41" s="15" t="s">
        <v>383</v>
      </c>
      <c r="B41" s="17" t="n">
        <v>2858</v>
      </c>
      <c r="C41" s="18">
        <f>(2534.0/B41*100)</f>
        <v/>
      </c>
      <c r="D41" s="19" t="n">
        <v>324</v>
      </c>
      <c r="E41" s="18" t="n">
        <v>22.18171003</v>
      </c>
      <c r="F41" s="20" t="n">
        <v>2.19461029</v>
      </c>
      <c r="G41" s="18" t="n">
        <v>77.54987052</v>
      </c>
      <c r="H41" s="20" t="n">
        <v>2.21214719</v>
      </c>
      <c r="I41" s="18" t="s">
        <v>349</v>
      </c>
      <c r="J41" s="20" t="s">
        <v>349</v>
      </c>
      <c r="K41" s="18" t="n">
        <v>0</v>
      </c>
      <c r="L41" s="20" t="n">
        <v>0</v>
      </c>
      <c r="M41" s="18" t="n">
        <v>0</v>
      </c>
      <c r="N41" s="20" t="n">
        <v>0</v>
      </c>
      <c r="O41" s="18" t="n">
        <v>0</v>
      </c>
      <c r="P41" s="20" t="n">
        <v>0</v>
      </c>
      <c r="Q41" s="18" t="n">
        <v>0.26841945</v>
      </c>
      <c r="R41" s="20" t="n">
        <v>0.27138528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(4507.0/B48*100)</f>
        <v/>
      </c>
      <c r="D48" s="19" t="n">
        <v>652</v>
      </c>
      <c r="E48" s="18" t="n">
        <v>14.44318927</v>
      </c>
      <c r="F48" s="20" t="n">
        <v>1.95946434</v>
      </c>
      <c r="G48" s="18" t="n">
        <v>85.02226317</v>
      </c>
      <c r="H48" s="20" t="n">
        <v>2.00408966</v>
      </c>
      <c r="I48" s="18" t="s">
        <v>349</v>
      </c>
      <c r="J48" s="20" t="s">
        <v>349</v>
      </c>
      <c r="K48" s="18" t="n">
        <v>0.21824391</v>
      </c>
      <c r="L48" s="20" t="n">
        <v>0.20665974</v>
      </c>
      <c r="M48" s="18" t="n">
        <v>0</v>
      </c>
      <c r="N48" s="20" t="n">
        <v>0</v>
      </c>
      <c r="O48" s="18" t="n">
        <v>0</v>
      </c>
      <c r="P48" s="20" t="n">
        <v>0</v>
      </c>
      <c r="Q48" s="18" t="n">
        <v>0.31630364</v>
      </c>
      <c r="R48" s="20" t="n">
        <v>0.22295462</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(2465.0/B52*100)</f>
        <v/>
      </c>
      <c r="D52" s="19" t="n">
        <v>331</v>
      </c>
      <c r="E52" s="18" t="n">
        <v>16.68850211</v>
      </c>
      <c r="F52" s="20" t="n">
        <v>1.93175667</v>
      </c>
      <c r="G52" s="18" t="n">
        <v>79.80060007</v>
      </c>
      <c r="H52" s="20" t="n">
        <v>2.38860562</v>
      </c>
      <c r="I52" s="18" t="s">
        <v>349</v>
      </c>
      <c r="J52" s="20" t="s">
        <v>349</v>
      </c>
      <c r="K52" s="18" t="n">
        <v>1.00054081</v>
      </c>
      <c r="L52" s="20" t="n">
        <v>0.57480651</v>
      </c>
      <c r="M52" s="18" t="n">
        <v>0</v>
      </c>
      <c r="N52" s="20" t="n">
        <v>0</v>
      </c>
      <c r="O52" s="18" t="n">
        <v>0</v>
      </c>
      <c r="P52" s="20" t="n">
        <v>0</v>
      </c>
      <c r="Q52" s="18" t="n">
        <v>2.51035702</v>
      </c>
      <c r="R52" s="20" t="n">
        <v>0.8940357</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8.409108290000001</v>
      </c>
      <c r="F56" s="20" t="n">
        <v>1.42557075</v>
      </c>
      <c r="G56" s="18" t="n">
        <v>90.28254990000001</v>
      </c>
      <c r="H56" s="20" t="n">
        <v>1.52101388</v>
      </c>
      <c r="I56" s="18" t="s">
        <v>349</v>
      </c>
      <c r="J56" s="20" t="s">
        <v>349</v>
      </c>
      <c r="K56" s="18" t="n">
        <v>0.53494455</v>
      </c>
      <c r="L56" s="20" t="n">
        <v>0.58629277</v>
      </c>
      <c r="M56" s="18" t="n">
        <v>0</v>
      </c>
      <c r="N56" s="20" t="n">
        <v>0</v>
      </c>
      <c r="O56" s="18" t="n">
        <v>0</v>
      </c>
      <c r="P56" s="20" t="n">
        <v>0</v>
      </c>
      <c r="Q56" s="18" t="n">
        <v>0.77339726</v>
      </c>
      <c r="R56" s="20" t="n">
        <v>0.44896977</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(2888.0/B61*100)</f>
        <v/>
      </c>
      <c r="D61" s="19" t="n">
        <v>436</v>
      </c>
      <c r="E61" s="18" t="n">
        <v>24.67584062</v>
      </c>
      <c r="F61" s="20" t="n">
        <v>2.60092699</v>
      </c>
      <c r="G61" s="18" t="n">
        <v>73.29000845</v>
      </c>
      <c r="H61" s="20" t="n">
        <v>2.50012545</v>
      </c>
      <c r="I61" s="18" t="s">
        <v>349</v>
      </c>
      <c r="J61" s="20" t="s">
        <v>349</v>
      </c>
      <c r="K61" s="18" t="n">
        <v>0</v>
      </c>
      <c r="L61" s="20" t="n">
        <v>0</v>
      </c>
      <c r="M61" s="18" t="n">
        <v>0</v>
      </c>
      <c r="N61" s="20" t="n">
        <v>0</v>
      </c>
      <c r="O61" s="18" t="n">
        <v>0</v>
      </c>
      <c r="P61" s="20" t="n">
        <v>0</v>
      </c>
      <c r="Q61" s="18" t="n">
        <v>2.03415093</v>
      </c>
      <c r="R61" s="20" t="n">
        <v>0.80118519</v>
      </c>
    </row>
    <row r="62" spans="1:18">
      <c r="A62" s="15" t="s">
        <v>404</v>
      </c>
      <c r="B62" s="17" t="n">
        <v>2246</v>
      </c>
      <c r="C62" s="18">
        <f>(1969.0/B62*100)</f>
        <v/>
      </c>
      <c r="D62" s="19" t="n">
        <v>277</v>
      </c>
      <c r="E62" s="18" t="n">
        <v>15.57704115</v>
      </c>
      <c r="F62" s="20" t="n">
        <v>2.00050771</v>
      </c>
      <c r="G62" s="18" t="n">
        <v>84.06448597000001</v>
      </c>
      <c r="H62" s="20" t="n">
        <v>1.99990905</v>
      </c>
      <c r="I62" s="18" t="s">
        <v>349</v>
      </c>
      <c r="J62" s="20" t="s">
        <v>349</v>
      </c>
      <c r="K62" s="18" t="n">
        <v>0</v>
      </c>
      <c r="L62" s="20" t="n">
        <v>0</v>
      </c>
      <c r="M62" s="18" t="n">
        <v>0</v>
      </c>
      <c r="N62" s="20" t="n">
        <v>0</v>
      </c>
      <c r="O62" s="18" t="n">
        <v>0</v>
      </c>
      <c r="P62" s="20" t="n">
        <v>0</v>
      </c>
      <c r="Q62" s="18" t="n">
        <v>0.35847288</v>
      </c>
      <c r="R62" s="20" t="n">
        <v>0.35546821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(2527.0/B66*100)</f>
        <v/>
      </c>
      <c r="D66" s="19" t="n">
        <v>367</v>
      </c>
      <c r="E66" s="18" t="n">
        <v>31.02854263</v>
      </c>
      <c r="F66" s="20" t="n">
        <v>2.59785503</v>
      </c>
      <c r="G66" s="18" t="n">
        <v>62.40719361</v>
      </c>
      <c r="H66" s="20" t="n">
        <v>2.63634774</v>
      </c>
      <c r="I66" s="18" t="s">
        <v>349</v>
      </c>
      <c r="J66" s="20" t="s">
        <v>349</v>
      </c>
      <c r="K66" s="18" t="n">
        <v>0.71917272</v>
      </c>
      <c r="L66" s="20" t="n">
        <v>0.42043964</v>
      </c>
      <c r="M66" s="18" t="n">
        <v>0</v>
      </c>
      <c r="N66" s="20" t="n">
        <v>0</v>
      </c>
      <c r="O66" s="18" t="n">
        <v>0</v>
      </c>
      <c r="P66" s="20" t="n">
        <v>0</v>
      </c>
      <c r="Q66" s="18" t="n">
        <v>5.84509104</v>
      </c>
      <c r="R66" s="20" t="n">
        <v>1.28656849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(5023.0/B68*100)</f>
        <v/>
      </c>
      <c r="D68" s="19" t="n">
        <v>1026</v>
      </c>
      <c r="E68" s="18" t="n">
        <v>47.46776801</v>
      </c>
      <c r="F68" s="20" t="n">
        <v>1.42195455</v>
      </c>
      <c r="G68" s="18" t="n">
        <v>47.04833725</v>
      </c>
      <c r="H68" s="20" t="n">
        <v>1.49825532</v>
      </c>
      <c r="I68" s="18" t="s">
        <v>349</v>
      </c>
      <c r="J68" s="20" t="s">
        <v>349</v>
      </c>
      <c r="K68" s="18" t="n">
        <v>1.82500583</v>
      </c>
      <c r="L68" s="20" t="n">
        <v>0.36225722</v>
      </c>
      <c r="M68" s="18" t="n">
        <v>0</v>
      </c>
      <c r="N68" s="20" t="n">
        <v>0</v>
      </c>
      <c r="O68" s="18" t="n">
        <v>0</v>
      </c>
      <c r="P68" s="20" t="n">
        <v>0</v>
      </c>
      <c r="Q68" s="18" t="n">
        <v>3.65888891</v>
      </c>
      <c r="R68" s="20" t="n">
        <v>0.4827745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(2562.0/B70*100)</f>
        <v/>
      </c>
      <c r="D70" s="19" t="n">
        <v>367</v>
      </c>
      <c r="E70" s="18" t="n">
        <v>19.5887525</v>
      </c>
      <c r="F70" s="20" t="n">
        <v>2.58381389</v>
      </c>
      <c r="G70" s="18" t="n">
        <v>79.58137978000001</v>
      </c>
      <c r="H70" s="20" t="n">
        <v>2.70014382</v>
      </c>
      <c r="I70" s="18" t="s">
        <v>349</v>
      </c>
      <c r="J70" s="20" t="s">
        <v>349</v>
      </c>
      <c r="K70" s="18" t="n">
        <v>0</v>
      </c>
      <c r="L70" s="20" t="n">
        <v>0</v>
      </c>
      <c r="M70" s="18" t="n">
        <v>0</v>
      </c>
      <c r="N70" s="20" t="n">
        <v>0</v>
      </c>
      <c r="O70" s="18" t="n">
        <v>0</v>
      </c>
      <c r="P70" s="20" t="n">
        <v>0</v>
      </c>
      <c r="Q70" s="18" t="n">
        <v>0.82986772</v>
      </c>
      <c r="R70" s="20" t="n">
        <v>0.53176243</v>
      </c>
    </row>
    <row r="71" spans="1:18">
      <c r="A71" s="15" t="s">
        <v>413</v>
      </c>
      <c r="B71" s="17" t="n">
        <v>3142</v>
      </c>
      <c r="C71" s="18">
        <f>(2754.0/B71*100)</f>
        <v/>
      </c>
      <c r="D71" s="19" t="n">
        <v>388</v>
      </c>
      <c r="E71" s="18" t="n">
        <v>11.34851124</v>
      </c>
      <c r="F71" s="20" t="n">
        <v>1.59052577</v>
      </c>
      <c r="G71" s="18" t="n">
        <v>88.41164953000001</v>
      </c>
      <c r="H71" s="20" t="n">
        <v>1.59170528</v>
      </c>
      <c r="I71" s="18" t="s">
        <v>349</v>
      </c>
      <c r="J71" s="20" t="s">
        <v>349</v>
      </c>
      <c r="K71" s="18" t="n">
        <v>0.23983922</v>
      </c>
      <c r="L71" s="20" t="n">
        <v>0.24494944</v>
      </c>
      <c r="M71" s="18" t="n">
        <v>0</v>
      </c>
      <c r="N71" s="20" t="n">
        <v>0</v>
      </c>
      <c r="O71" s="18" t="n">
        <v>0</v>
      </c>
      <c r="P71" s="20" t="n">
        <v>0</v>
      </c>
      <c r="Q71" s="18" t="n">
        <v>0</v>
      </c>
      <c r="R71" s="20" t="n">
        <v>0</v>
      </c>
    </row>
    <row r="72" spans="1:18">
      <c r="A72" s="15" t="s">
        <v>414</v>
      </c>
      <c r="B72" s="17" t="n">
        <v>3889</v>
      </c>
      <c r="C72" s="18">
        <f>(3415.0/B72*100)</f>
        <v/>
      </c>
      <c r="D72" s="19" t="n">
        <v>474</v>
      </c>
      <c r="E72" s="18" t="n">
        <v>12.13472845</v>
      </c>
      <c r="F72" s="20" t="n">
        <v>1.58715589</v>
      </c>
      <c r="G72" s="18" t="n">
        <v>86.86621603</v>
      </c>
      <c r="H72" s="20" t="n">
        <v>1.65129405</v>
      </c>
      <c r="I72" s="18" t="s">
        <v>349</v>
      </c>
      <c r="J72" s="20" t="s">
        <v>349</v>
      </c>
      <c r="K72" s="18" t="n">
        <v>0.49840339</v>
      </c>
      <c r="L72" s="20" t="n">
        <v>0.32519364</v>
      </c>
      <c r="M72" s="18" t="n">
        <v>0</v>
      </c>
      <c r="N72" s="20" t="n">
        <v>0</v>
      </c>
      <c r="O72" s="18" t="n">
        <v>0</v>
      </c>
      <c r="P72" s="20" t="n">
        <v>0</v>
      </c>
      <c r="Q72" s="18" t="n">
        <v>0.50065213</v>
      </c>
      <c r="R72" s="20" t="n">
        <v>0.29945374</v>
      </c>
    </row>
    <row r="73" spans="1:18">
      <c r="A73" s="15" t="s">
        <v>415</v>
      </c>
      <c r="B73" s="17" t="n">
        <v>3597</v>
      </c>
      <c r="C73" s="18">
        <f>(3132.0/B73*100)</f>
        <v/>
      </c>
      <c r="D73" s="19" t="n">
        <v>465</v>
      </c>
      <c r="E73" s="18" t="n">
        <v>51.57100358</v>
      </c>
      <c r="F73" s="20" t="n">
        <v>3.1368664</v>
      </c>
      <c r="G73" s="18" t="n">
        <v>47.03714385</v>
      </c>
      <c r="H73" s="20" t="n">
        <v>3.00224007</v>
      </c>
      <c r="I73" s="18" t="s">
        <v>349</v>
      </c>
      <c r="J73" s="20" t="s">
        <v>349</v>
      </c>
      <c r="K73" s="18" t="n">
        <v>0</v>
      </c>
      <c r="L73" s="20" t="n">
        <v>0</v>
      </c>
      <c r="M73" s="18" t="n">
        <v>0</v>
      </c>
      <c r="N73" s="20" t="n">
        <v>0</v>
      </c>
      <c r="O73" s="18" t="n">
        <v>0</v>
      </c>
      <c r="P73" s="20" t="n">
        <v>0</v>
      </c>
      <c r="Q73" s="18" t="n">
        <v>1.39185257</v>
      </c>
      <c r="R73" s="20" t="n">
        <v>0.9445596000000001</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(3646.0/B81*100)</f>
        <v/>
      </c>
      <c r="D81" s="19" t="n">
        <v>517</v>
      </c>
      <c r="E81" s="18" t="n">
        <v>24.49685041</v>
      </c>
      <c r="F81" s="20" t="n">
        <v>2.41779332</v>
      </c>
      <c r="G81" s="18" t="n">
        <v>75.27808053</v>
      </c>
      <c r="H81" s="20" t="n">
        <v>2.53391658</v>
      </c>
      <c r="I81" s="18" t="s">
        <v>349</v>
      </c>
      <c r="J81" s="20" t="s">
        <v>349</v>
      </c>
      <c r="K81" s="18" t="n">
        <v>0.01975439</v>
      </c>
      <c r="L81" s="20" t="n">
        <v>0.66999652</v>
      </c>
      <c r="M81" s="18" t="n">
        <v>0</v>
      </c>
      <c r="N81" s="20" t="n">
        <v>0</v>
      </c>
      <c r="O81" s="18" t="n">
        <v>0</v>
      </c>
      <c r="P81" s="20" t="n">
        <v>0</v>
      </c>
      <c r="Q81" s="18" t="n">
        <v>0.20531467</v>
      </c>
      <c r="R81" s="20" t="n">
        <v>0.20406944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(6480.0/B7*100)</f>
        <v/>
      </c>
      <c r="D7" s="19" t="n">
        <v>887</v>
      </c>
      <c r="E7" s="18" t="n">
        <v>49.69748216</v>
      </c>
      <c r="F7" s="20" t="n">
        <v>2.10493819</v>
      </c>
      <c r="G7" s="18" t="n">
        <v>45.97875612</v>
      </c>
      <c r="H7" s="20" t="n">
        <v>2.10490656</v>
      </c>
      <c r="I7" s="18" t="s">
        <v>349</v>
      </c>
      <c r="J7" s="20" t="s">
        <v>349</v>
      </c>
      <c r="K7" s="18" t="n">
        <v>0.83127343</v>
      </c>
      <c r="L7" s="20" t="n">
        <v>0.36584039</v>
      </c>
      <c r="M7" s="18" t="n">
        <v>0</v>
      </c>
      <c r="N7" s="20" t="n">
        <v>0</v>
      </c>
      <c r="O7" s="18" t="n">
        <v>0</v>
      </c>
      <c r="P7" s="20" t="n">
        <v>0</v>
      </c>
      <c r="Q7" s="18" t="n">
        <v>3.49248829</v>
      </c>
      <c r="R7" s="20" t="n">
        <v>0.70142375</v>
      </c>
    </row>
    <row r="8" spans="1:18">
      <c r="A8" s="15" t="s">
        <v>350</v>
      </c>
      <c r="B8" s="17" t="n">
        <v>3564</v>
      </c>
      <c r="C8" s="18">
        <f>(3157.0/B8*100)</f>
        <v/>
      </c>
      <c r="D8" s="19" t="n">
        <v>407</v>
      </c>
      <c r="E8" s="18" t="n">
        <v>51.77131511</v>
      </c>
      <c r="F8" s="20" t="n">
        <v>3.01486194</v>
      </c>
      <c r="G8" s="18" t="n">
        <v>45.31882017</v>
      </c>
      <c r="H8" s="20" t="n">
        <v>2.90431167</v>
      </c>
      <c r="I8" s="18" t="s">
        <v>349</v>
      </c>
      <c r="J8" s="20" t="s">
        <v>349</v>
      </c>
      <c r="K8" s="18" t="n">
        <v>0</v>
      </c>
      <c r="L8" s="20" t="n">
        <v>0</v>
      </c>
      <c r="M8" s="18" t="n">
        <v>0</v>
      </c>
      <c r="N8" s="20" t="n">
        <v>0</v>
      </c>
      <c r="O8" s="18" t="n">
        <v>0</v>
      </c>
      <c r="P8" s="20" t="n">
        <v>0</v>
      </c>
      <c r="Q8" s="18" t="n">
        <v>2.90986473</v>
      </c>
      <c r="R8" s="20" t="n">
        <v>0.65893603</v>
      </c>
    </row>
    <row r="9" spans="1:18">
      <c r="A9" s="15" t="s">
        <v>351</v>
      </c>
      <c r="B9" s="17" t="n">
        <v>4899</v>
      </c>
      <c r="C9" s="18">
        <f>(4310.0/B9*100)</f>
        <v/>
      </c>
      <c r="D9" s="19" t="n">
        <v>589</v>
      </c>
      <c r="E9" s="18" t="n">
        <v>47.74791203</v>
      </c>
      <c r="F9" s="20" t="n">
        <v>2.53965839</v>
      </c>
      <c r="G9" s="18" t="n">
        <v>49.32713892</v>
      </c>
      <c r="H9" s="20" t="n">
        <v>2.45988447</v>
      </c>
      <c r="I9" s="18" t="s">
        <v>349</v>
      </c>
      <c r="J9" s="20" t="s">
        <v>349</v>
      </c>
      <c r="K9" s="18" t="n">
        <v>0.72507993</v>
      </c>
      <c r="L9" s="20" t="n">
        <v>0.35798754</v>
      </c>
      <c r="M9" s="18" t="n">
        <v>0</v>
      </c>
      <c r="N9" s="20" t="n">
        <v>0</v>
      </c>
      <c r="O9" s="18" t="n">
        <v>0</v>
      </c>
      <c r="P9" s="20" t="n">
        <v>0</v>
      </c>
      <c r="Q9" s="18" t="n">
        <v>2.19986913</v>
      </c>
      <c r="R9" s="20" t="n">
        <v>0.62399433</v>
      </c>
    </row>
    <row r="10" spans="1:18">
      <c r="A10" s="15" t="s">
        <v>352</v>
      </c>
      <c r="B10" s="17" t="n">
        <v>10036</v>
      </c>
      <c r="C10" s="18">
        <f>(8807.0/B10*100)</f>
        <v/>
      </c>
      <c r="D10" s="19" t="n">
        <v>1229</v>
      </c>
      <c r="E10" s="18" t="n">
        <v>46.27598813</v>
      </c>
      <c r="F10" s="20" t="n">
        <v>2.0760497</v>
      </c>
      <c r="G10" s="18" t="n">
        <v>52.06030577</v>
      </c>
      <c r="H10" s="20" t="n">
        <v>2.09695341</v>
      </c>
      <c r="I10" s="18" t="s">
        <v>349</v>
      </c>
      <c r="J10" s="20" t="s">
        <v>349</v>
      </c>
      <c r="K10" s="18" t="n">
        <v>0.38723218</v>
      </c>
      <c r="L10" s="20" t="n">
        <v>0.22286555</v>
      </c>
      <c r="M10" s="18" t="n">
        <v>0</v>
      </c>
      <c r="N10" s="20" t="n">
        <v>0</v>
      </c>
      <c r="O10" s="18" t="n">
        <v>0</v>
      </c>
      <c r="P10" s="20" t="n">
        <v>0</v>
      </c>
      <c r="Q10" s="18" t="n">
        <v>1.27647391</v>
      </c>
      <c r="R10" s="20" t="n">
        <v>0.55942702</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(3061.0/B12*100)</f>
        <v/>
      </c>
      <c r="D12" s="19" t="n">
        <v>411</v>
      </c>
      <c r="E12" s="18" t="n">
        <v>49.94243357</v>
      </c>
      <c r="F12" s="20" t="n">
        <v>2.51473612</v>
      </c>
      <c r="G12" s="18" t="n">
        <v>46.94397997</v>
      </c>
      <c r="H12" s="20" t="n">
        <v>2.64094735</v>
      </c>
      <c r="I12" s="18" t="s">
        <v>349</v>
      </c>
      <c r="J12" s="20" t="s">
        <v>349</v>
      </c>
      <c r="K12" s="18" t="n">
        <v>0</v>
      </c>
      <c r="L12" s="20" t="n">
        <v>0</v>
      </c>
      <c r="M12" s="18" t="n">
        <v>0</v>
      </c>
      <c r="N12" s="20" t="n">
        <v>0</v>
      </c>
      <c r="O12" s="18" t="n">
        <v>0</v>
      </c>
      <c r="P12" s="20" t="n">
        <v>0</v>
      </c>
      <c r="Q12" s="18" t="n">
        <v>3.11358646</v>
      </c>
      <c r="R12" s="20" t="n">
        <v>0.8953626</v>
      </c>
    </row>
    <row r="13" spans="1:18">
      <c r="A13" s="15" t="s">
        <v>355</v>
      </c>
      <c r="B13" s="17" t="n">
        <v>3559</v>
      </c>
      <c r="C13" s="18">
        <f>(3138.0/B13*100)</f>
        <v/>
      </c>
      <c r="D13" s="19" t="n">
        <v>421</v>
      </c>
      <c r="E13" s="18" t="n">
        <v>48.88811087</v>
      </c>
      <c r="F13" s="20" t="n">
        <v>2.82252806</v>
      </c>
      <c r="G13" s="18" t="n">
        <v>48.83028523</v>
      </c>
      <c r="H13" s="20" t="n">
        <v>3.01926291</v>
      </c>
      <c r="I13" s="18" t="s">
        <v>349</v>
      </c>
      <c r="J13" s="20" t="s">
        <v>349</v>
      </c>
      <c r="K13" s="18" t="n">
        <v>0.12086719</v>
      </c>
      <c r="L13" s="20" t="n">
        <v>0.12235614</v>
      </c>
      <c r="M13" s="18" t="n">
        <v>0</v>
      </c>
      <c r="N13" s="20" t="n">
        <v>0</v>
      </c>
      <c r="O13" s="18" t="n">
        <v>0</v>
      </c>
      <c r="P13" s="20" t="n">
        <v>0</v>
      </c>
      <c r="Q13" s="18" t="n">
        <v>2.16073671</v>
      </c>
      <c r="R13" s="20" t="n">
        <v>0.77777865</v>
      </c>
    </row>
    <row r="14" spans="1:18">
      <c r="A14" s="15" t="s">
        <v>356</v>
      </c>
      <c r="B14" s="17" t="n">
        <v>2799</v>
      </c>
      <c r="C14" s="18">
        <f>(2420.0/B14*100)</f>
        <v/>
      </c>
      <c r="D14" s="19" t="n">
        <v>379</v>
      </c>
      <c r="E14" s="18" t="n">
        <v>45.78930525</v>
      </c>
      <c r="F14" s="20" t="n">
        <v>2.78460495</v>
      </c>
      <c r="G14" s="18" t="n">
        <v>51.90758173</v>
      </c>
      <c r="H14" s="20" t="n">
        <v>2.75886436</v>
      </c>
      <c r="I14" s="18" t="s">
        <v>349</v>
      </c>
      <c r="J14" s="20" t="s">
        <v>349</v>
      </c>
      <c r="K14" s="18" t="n">
        <v>0.4047045</v>
      </c>
      <c r="L14" s="20" t="n">
        <v>0.28579983</v>
      </c>
      <c r="M14" s="18" t="n">
        <v>0</v>
      </c>
      <c r="N14" s="20" t="n">
        <v>0</v>
      </c>
      <c r="O14" s="18" t="n">
        <v>0</v>
      </c>
      <c r="P14" s="20" t="n">
        <v>0</v>
      </c>
      <c r="Q14" s="18" t="n">
        <v>1.89840852</v>
      </c>
      <c r="R14" s="20" t="n">
        <v>0.76151349</v>
      </c>
    </row>
    <row r="15" spans="1:18">
      <c r="A15" s="15" t="s">
        <v>357</v>
      </c>
      <c r="B15" s="17" t="n">
        <v>3019</v>
      </c>
      <c r="C15" s="18">
        <f>(2641.0/B15*100)</f>
        <v/>
      </c>
      <c r="D15" s="19" t="n">
        <v>378</v>
      </c>
      <c r="E15" s="18" t="n">
        <v>47.04637493</v>
      </c>
      <c r="F15" s="20" t="n">
        <v>2.55806126</v>
      </c>
      <c r="G15" s="18" t="n">
        <v>49.54583387</v>
      </c>
      <c r="H15" s="20" t="n">
        <v>2.58196168</v>
      </c>
      <c r="I15" s="18" t="s">
        <v>349</v>
      </c>
      <c r="J15" s="20" t="s">
        <v>349</v>
      </c>
      <c r="K15" s="18" t="n">
        <v>0.47891596</v>
      </c>
      <c r="L15" s="20" t="n">
        <v>0.3399262</v>
      </c>
      <c r="M15" s="18" t="n">
        <v>0</v>
      </c>
      <c r="N15" s="20" t="n">
        <v>0</v>
      </c>
      <c r="O15" s="18" t="n">
        <v>0</v>
      </c>
      <c r="P15" s="20" t="n">
        <v>0</v>
      </c>
      <c r="Q15" s="18" t="n">
        <v>2.92887524</v>
      </c>
      <c r="R15" s="20" t="n">
        <v>0.85481819</v>
      </c>
    </row>
    <row r="16" spans="1:18">
      <c r="A16" s="15" t="s">
        <v>358</v>
      </c>
      <c r="B16" s="17" t="n">
        <v>2997</v>
      </c>
      <c r="C16" s="18">
        <f>(2612.0/B16*100)</f>
        <v/>
      </c>
      <c r="D16" s="19" t="n">
        <v>385</v>
      </c>
      <c r="E16" s="18" t="n">
        <v>49.94895658</v>
      </c>
      <c r="F16" s="20" t="n">
        <v>2.7891906</v>
      </c>
      <c r="G16" s="18" t="n">
        <v>43.39655641</v>
      </c>
      <c r="H16" s="20" t="n">
        <v>2.65210436</v>
      </c>
      <c r="I16" s="18" t="s">
        <v>349</v>
      </c>
      <c r="J16" s="20" t="s">
        <v>349</v>
      </c>
      <c r="K16" s="18" t="n">
        <v>1.34199475</v>
      </c>
      <c r="L16" s="20" t="n">
        <v>0.58766294</v>
      </c>
      <c r="M16" s="18" t="n">
        <v>0</v>
      </c>
      <c r="N16" s="20" t="n">
        <v>0</v>
      </c>
      <c r="O16" s="18" t="n">
        <v>0</v>
      </c>
      <c r="P16" s="20" t="n">
        <v>0</v>
      </c>
      <c r="Q16" s="18" t="n">
        <v>5.31249227</v>
      </c>
      <c r="R16" s="20" t="n">
        <v>1.1177634</v>
      </c>
    </row>
    <row r="17" spans="1:18">
      <c r="A17" s="15" t="s">
        <v>359</v>
      </c>
      <c r="B17" s="17" t="n">
        <v>3307</v>
      </c>
      <c r="C17" s="18">
        <f>(2914.0/B17*100)</f>
        <v/>
      </c>
      <c r="D17" s="19" t="n">
        <v>393</v>
      </c>
      <c r="E17" s="18" t="n">
        <v>47.70831984</v>
      </c>
      <c r="F17" s="20" t="n">
        <v>2.20624766</v>
      </c>
      <c r="G17" s="18" t="n">
        <v>49.91489145</v>
      </c>
      <c r="H17" s="20" t="n">
        <v>2.32110953</v>
      </c>
      <c r="I17" s="18" t="s">
        <v>349</v>
      </c>
      <c r="J17" s="20" t="s">
        <v>349</v>
      </c>
      <c r="K17" s="18" t="n">
        <v>0.49282592</v>
      </c>
      <c r="L17" s="20" t="n">
        <v>0.28907888</v>
      </c>
      <c r="M17" s="18" t="n">
        <v>0</v>
      </c>
      <c r="N17" s="20" t="n">
        <v>0</v>
      </c>
      <c r="O17" s="18" t="n">
        <v>0</v>
      </c>
      <c r="P17" s="20" t="n">
        <v>0</v>
      </c>
      <c r="Q17" s="18" t="n">
        <v>1.88396279</v>
      </c>
      <c r="R17" s="20" t="n">
        <v>0.8561778</v>
      </c>
    </row>
    <row r="18" spans="1:18">
      <c r="A18" s="15" t="s">
        <v>360</v>
      </c>
      <c r="B18" s="17" t="n">
        <v>2826</v>
      </c>
      <c r="C18" s="18">
        <f>(2451.0/B18*100)</f>
        <v/>
      </c>
      <c r="D18" s="19" t="n">
        <v>375</v>
      </c>
      <c r="E18" s="18" t="n">
        <v>53.62537131</v>
      </c>
      <c r="F18" s="20" t="n">
        <v>3.01668549</v>
      </c>
      <c r="G18" s="18" t="n">
        <v>40.63745922</v>
      </c>
      <c r="H18" s="20" t="n">
        <v>2.87340884</v>
      </c>
      <c r="I18" s="18" t="s">
        <v>349</v>
      </c>
      <c r="J18" s="20" t="s">
        <v>349</v>
      </c>
      <c r="K18" s="18" t="n">
        <v>0.3661748</v>
      </c>
      <c r="L18" s="20" t="n">
        <v>0.36479011</v>
      </c>
      <c r="M18" s="18" t="n">
        <v>0</v>
      </c>
      <c r="N18" s="20" t="n">
        <v>0</v>
      </c>
      <c r="O18" s="18" t="n">
        <v>0</v>
      </c>
      <c r="P18" s="20" t="n">
        <v>0</v>
      </c>
      <c r="Q18" s="18" t="n">
        <v>5.37099467</v>
      </c>
      <c r="R18" s="20" t="n">
        <v>1.46880415</v>
      </c>
    </row>
    <row r="19" spans="1:18">
      <c r="A19" s="15" t="s">
        <v>361</v>
      </c>
      <c r="B19" s="17" t="n">
        <v>2808</v>
      </c>
      <c r="C19" s="18">
        <f>(2478.0/B19*100)</f>
        <v/>
      </c>
      <c r="D19" s="19" t="n">
        <v>330</v>
      </c>
      <c r="E19" s="18" t="n">
        <v>56.40063827</v>
      </c>
      <c r="F19" s="20" t="n">
        <v>2.79421852</v>
      </c>
      <c r="G19" s="18" t="n">
        <v>40.44672094</v>
      </c>
      <c r="H19" s="20" t="n">
        <v>2.88278867</v>
      </c>
      <c r="I19" s="18" t="s">
        <v>349</v>
      </c>
      <c r="J19" s="20" t="s">
        <v>349</v>
      </c>
      <c r="K19" s="18" t="n">
        <v>0</v>
      </c>
      <c r="L19" s="20" t="n">
        <v>0</v>
      </c>
      <c r="M19" s="18" t="n">
        <v>0</v>
      </c>
      <c r="N19" s="20" t="n">
        <v>0</v>
      </c>
      <c r="O19" s="18" t="n">
        <v>0</v>
      </c>
      <c r="P19" s="20" t="n">
        <v>0</v>
      </c>
      <c r="Q19" s="18" t="n">
        <v>3.15264079</v>
      </c>
      <c r="R19" s="20" t="n">
        <v>0.9639089199999999</v>
      </c>
    </row>
    <row r="20" spans="1:18">
      <c r="A20" s="15" t="s">
        <v>362</v>
      </c>
      <c r="B20" s="17" t="n">
        <v>1630</v>
      </c>
      <c r="C20" s="18">
        <f>(1430.0/B20*100)</f>
        <v/>
      </c>
      <c r="D20" s="19" t="n">
        <v>200</v>
      </c>
      <c r="E20" s="18" t="n">
        <v>55.15085259</v>
      </c>
      <c r="F20" s="20" t="n">
        <v>4.0828161</v>
      </c>
      <c r="G20" s="18" t="n">
        <v>38.58381695</v>
      </c>
      <c r="H20" s="20" t="n">
        <v>3.72273838</v>
      </c>
      <c r="I20" s="18" t="s">
        <v>349</v>
      </c>
      <c r="J20" s="20" t="s">
        <v>349</v>
      </c>
      <c r="K20" s="18" t="n">
        <v>1.96509801</v>
      </c>
      <c r="L20" s="20" t="n">
        <v>0.95636737</v>
      </c>
      <c r="M20" s="18" t="n">
        <v>0</v>
      </c>
      <c r="N20" s="20" t="n">
        <v>0</v>
      </c>
      <c r="O20" s="18" t="n">
        <v>0</v>
      </c>
      <c r="P20" s="20" t="n">
        <v>0</v>
      </c>
      <c r="Q20" s="18" t="n">
        <v>4.30023245</v>
      </c>
      <c r="R20" s="20" t="n">
        <v>1.34697226</v>
      </c>
    </row>
    <row r="21" spans="1:18">
      <c r="A21" s="15" t="s">
        <v>363</v>
      </c>
      <c r="B21" s="17" t="n">
        <v>2908</v>
      </c>
      <c r="C21" s="18">
        <f>(2420.0/B21*100)</f>
        <v/>
      </c>
      <c r="D21" s="19" t="n">
        <v>488</v>
      </c>
      <c r="E21" s="18" t="n">
        <v>54.0073677</v>
      </c>
      <c r="F21" s="20" t="n">
        <v>2.61807753</v>
      </c>
      <c r="G21" s="18" t="n">
        <v>43.69953414</v>
      </c>
      <c r="H21" s="20" t="n">
        <v>2.51432346</v>
      </c>
      <c r="I21" s="18" t="s">
        <v>349</v>
      </c>
      <c r="J21" s="20" t="s">
        <v>349</v>
      </c>
      <c r="K21" s="18" t="n">
        <v>0.3249278</v>
      </c>
      <c r="L21" s="20" t="n">
        <v>0.31325374</v>
      </c>
      <c r="M21" s="18" t="n">
        <v>0</v>
      </c>
      <c r="N21" s="20" t="n">
        <v>0</v>
      </c>
      <c r="O21" s="18" t="n">
        <v>0</v>
      </c>
      <c r="P21" s="20" t="n">
        <v>0</v>
      </c>
      <c r="Q21" s="18" t="n">
        <v>1.96817036</v>
      </c>
      <c r="R21" s="20" t="n">
        <v>0.63390906</v>
      </c>
    </row>
    <row r="22" spans="1:18">
      <c r="A22" s="15" t="s">
        <v>364</v>
      </c>
      <c r="B22" s="17" t="n">
        <v>2931</v>
      </c>
      <c r="C22" s="18">
        <f>(2577.0/B22*100)</f>
        <v/>
      </c>
      <c r="D22" s="19" t="n">
        <v>354</v>
      </c>
      <c r="E22" s="18" t="n">
        <v>60.15183982</v>
      </c>
      <c r="F22" s="20" t="n">
        <v>2.86561895</v>
      </c>
      <c r="G22" s="18" t="n">
        <v>37.02855992</v>
      </c>
      <c r="H22" s="20" t="n">
        <v>2.90892366</v>
      </c>
      <c r="I22" s="18" t="s">
        <v>349</v>
      </c>
      <c r="J22" s="20" t="s">
        <v>349</v>
      </c>
      <c r="K22" s="18" t="n">
        <v>0.87695671</v>
      </c>
      <c r="L22" s="20" t="n">
        <v>0.48718715</v>
      </c>
      <c r="M22" s="18" t="n">
        <v>0</v>
      </c>
      <c r="N22" s="20" t="n">
        <v>0</v>
      </c>
      <c r="O22" s="18" t="n">
        <v>0</v>
      </c>
      <c r="P22" s="20" t="n">
        <v>0</v>
      </c>
      <c r="Q22" s="18" t="n">
        <v>1.94264355</v>
      </c>
      <c r="R22" s="20" t="n">
        <v>0.65938936</v>
      </c>
    </row>
    <row r="23" spans="1:18">
      <c r="A23" s="15" t="s">
        <v>365</v>
      </c>
      <c r="B23" s="17" t="n">
        <v>5791</v>
      </c>
      <c r="C23" s="18">
        <f>(5092.0/B23*100)</f>
        <v/>
      </c>
      <c r="D23" s="19" t="n">
        <v>699</v>
      </c>
      <c r="E23" s="18" t="n">
        <v>57.53884383</v>
      </c>
      <c r="F23" s="20" t="n">
        <v>2.48056848</v>
      </c>
      <c r="G23" s="18" t="n">
        <v>38.70760674</v>
      </c>
      <c r="H23" s="20" t="n">
        <v>2.34237413</v>
      </c>
      <c r="I23" s="18" t="s">
        <v>349</v>
      </c>
      <c r="J23" s="20" t="s">
        <v>349</v>
      </c>
      <c r="K23" s="18" t="n">
        <v>0.68065451</v>
      </c>
      <c r="L23" s="20" t="n">
        <v>0.45931803</v>
      </c>
      <c r="M23" s="18" t="n">
        <v>0</v>
      </c>
      <c r="N23" s="20" t="n">
        <v>0</v>
      </c>
      <c r="O23" s="18" t="n">
        <v>0</v>
      </c>
      <c r="P23" s="20" t="n">
        <v>0</v>
      </c>
      <c r="Q23" s="18" t="n">
        <v>3.07289492</v>
      </c>
      <c r="R23" s="20" t="n">
        <v>1.07997397</v>
      </c>
    </row>
    <row r="24" spans="1:18">
      <c r="A24" s="15" t="s">
        <v>366</v>
      </c>
      <c r="B24" s="17" t="n">
        <v>3338</v>
      </c>
      <c r="C24" s="18">
        <f>(2917.0/B24*100)</f>
        <v/>
      </c>
      <c r="D24" s="19" t="n">
        <v>421</v>
      </c>
      <c r="E24" s="18" t="n">
        <v>62.31042915</v>
      </c>
      <c r="F24" s="20" t="n">
        <v>2.2724186</v>
      </c>
      <c r="G24" s="18" t="n">
        <v>35.03263091</v>
      </c>
      <c r="H24" s="20" t="n">
        <v>2.24947045</v>
      </c>
      <c r="I24" s="18" t="s">
        <v>349</v>
      </c>
      <c r="J24" s="20" t="s">
        <v>349</v>
      </c>
      <c r="K24" s="18" t="n">
        <v>0.64932795</v>
      </c>
      <c r="L24" s="20" t="n">
        <v>0.3812017</v>
      </c>
      <c r="M24" s="18" t="n">
        <v>0</v>
      </c>
      <c r="N24" s="20" t="n">
        <v>0</v>
      </c>
      <c r="O24" s="18" t="n">
        <v>0</v>
      </c>
      <c r="P24" s="20" t="n">
        <v>0</v>
      </c>
      <c r="Q24" s="18" t="n">
        <v>2.00761199</v>
      </c>
      <c r="R24" s="20" t="n">
        <v>0.68415618</v>
      </c>
    </row>
    <row r="25" spans="1:18">
      <c r="A25" s="15" t="s">
        <v>367</v>
      </c>
      <c r="B25" s="17" t="n">
        <v>2912</v>
      </c>
      <c r="C25" s="18">
        <f>(2542.0/B25*100)</f>
        <v/>
      </c>
      <c r="D25" s="19" t="n">
        <v>370</v>
      </c>
      <c r="E25" s="18" t="n">
        <v>67.8024566</v>
      </c>
      <c r="F25" s="20" t="n">
        <v>2.22503375</v>
      </c>
      <c r="G25" s="18" t="n">
        <v>30.14337658</v>
      </c>
      <c r="H25" s="20" t="n">
        <v>2.2887886</v>
      </c>
      <c r="I25" s="18" t="s">
        <v>349</v>
      </c>
      <c r="J25" s="20" t="s">
        <v>349</v>
      </c>
      <c r="K25" s="18" t="n">
        <v>0</v>
      </c>
      <c r="L25" s="20" t="n">
        <v>0</v>
      </c>
      <c r="M25" s="18" t="n">
        <v>0</v>
      </c>
      <c r="N25" s="20" t="n">
        <v>0</v>
      </c>
      <c r="O25" s="18" t="n">
        <v>0</v>
      </c>
      <c r="P25" s="20" t="n">
        <v>0</v>
      </c>
      <c r="Q25" s="18" t="n">
        <v>2.05416682</v>
      </c>
      <c r="R25" s="20" t="n">
        <v>0.80361754</v>
      </c>
    </row>
    <row r="26" spans="1:18">
      <c r="A26" s="15" t="s">
        <v>368</v>
      </c>
      <c r="B26" s="17" t="n">
        <v>2450</v>
      </c>
      <c r="C26" s="18">
        <f>(2163.0/B26*100)</f>
        <v/>
      </c>
      <c r="D26" s="19" t="n">
        <v>287</v>
      </c>
      <c r="E26" s="18" t="n">
        <v>59.80195013</v>
      </c>
      <c r="F26" s="20" t="n">
        <v>2.91161781</v>
      </c>
      <c r="G26" s="18" t="n">
        <v>36.92077234</v>
      </c>
      <c r="H26" s="20" t="n">
        <v>2.80401784</v>
      </c>
      <c r="I26" s="18" t="s">
        <v>349</v>
      </c>
      <c r="J26" s="20" t="s">
        <v>349</v>
      </c>
      <c r="K26" s="18" t="n">
        <v>0</v>
      </c>
      <c r="L26" s="20" t="n">
        <v>0</v>
      </c>
      <c r="M26" s="18" t="n">
        <v>0</v>
      </c>
      <c r="N26" s="20" t="n">
        <v>0</v>
      </c>
      <c r="O26" s="18" t="n">
        <v>0</v>
      </c>
      <c r="P26" s="20" t="n">
        <v>0</v>
      </c>
      <c r="Q26" s="18" t="n">
        <v>3.27727752</v>
      </c>
      <c r="R26" s="20" t="n">
        <v>1.10415264</v>
      </c>
    </row>
    <row r="27" spans="1:18">
      <c r="A27" s="15" t="s">
        <v>369</v>
      </c>
      <c r="B27" s="17" t="n">
        <v>2616</v>
      </c>
      <c r="C27" s="18">
        <f>(2292.0/B27*100)</f>
        <v/>
      </c>
      <c r="D27" s="19" t="n">
        <v>324</v>
      </c>
      <c r="E27" s="18" t="n">
        <v>52.63384871</v>
      </c>
      <c r="F27" s="20" t="n">
        <v>2.5891184</v>
      </c>
      <c r="G27" s="18" t="n">
        <v>42.68665011</v>
      </c>
      <c r="H27" s="20" t="n">
        <v>2.71405354</v>
      </c>
      <c r="I27" s="18" t="s">
        <v>349</v>
      </c>
      <c r="J27" s="20" t="s">
        <v>349</v>
      </c>
      <c r="K27" s="18" t="n">
        <v>0.61994956</v>
      </c>
      <c r="L27" s="20" t="n">
        <v>0.43408024</v>
      </c>
      <c r="M27" s="18" t="n">
        <v>0</v>
      </c>
      <c r="N27" s="20" t="n">
        <v>0</v>
      </c>
      <c r="O27" s="18" t="n">
        <v>0</v>
      </c>
      <c r="P27" s="20" t="n">
        <v>0</v>
      </c>
      <c r="Q27" s="18" t="n">
        <v>4.05955163</v>
      </c>
      <c r="R27" s="20" t="n">
        <v>1.08528448</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51.922325</v>
      </c>
      <c r="F29" s="20" t="n">
        <v>2.48232119</v>
      </c>
      <c r="G29" s="18" t="n">
        <v>45.12266614</v>
      </c>
      <c r="H29" s="20" t="n">
        <v>2.4571677</v>
      </c>
      <c r="I29" s="18" t="s">
        <v>349</v>
      </c>
      <c r="J29" s="20" t="s">
        <v>349</v>
      </c>
      <c r="K29" s="18" t="n">
        <v>0.5842277299999999</v>
      </c>
      <c r="L29" s="20" t="n">
        <v>0.4258426</v>
      </c>
      <c r="M29" s="18" t="n">
        <v>0</v>
      </c>
      <c r="N29" s="20" t="n">
        <v>0</v>
      </c>
      <c r="O29" s="18" t="n">
        <v>0</v>
      </c>
      <c r="P29" s="20" t="n">
        <v>0</v>
      </c>
      <c r="Q29" s="18" t="n">
        <v>2.37078113</v>
      </c>
      <c r="R29" s="20" t="n">
        <v>0.7987564</v>
      </c>
    </row>
    <row r="30" spans="1:18">
      <c r="A30" s="15" t="s">
        <v>372</v>
      </c>
      <c r="B30" s="17" t="n">
        <v>2263</v>
      </c>
      <c r="C30" s="18">
        <f>(2007.0/B30*100)</f>
        <v/>
      </c>
      <c r="D30" s="19" t="n">
        <v>256</v>
      </c>
      <c r="E30" s="18" t="n">
        <v>56.1383069</v>
      </c>
      <c r="F30" s="20" t="n">
        <v>3.59387289</v>
      </c>
      <c r="G30" s="18" t="n">
        <v>42.04690894</v>
      </c>
      <c r="H30" s="20" t="n">
        <v>3.56916823</v>
      </c>
      <c r="I30" s="18" t="s">
        <v>349</v>
      </c>
      <c r="J30" s="20" t="s">
        <v>349</v>
      </c>
      <c r="K30" s="18" t="n">
        <v>0</v>
      </c>
      <c r="L30" s="20" t="n">
        <v>0</v>
      </c>
      <c r="M30" s="18" t="n">
        <v>0</v>
      </c>
      <c r="N30" s="20" t="n">
        <v>0</v>
      </c>
      <c r="O30" s="18" t="n">
        <v>0</v>
      </c>
      <c r="P30" s="20" t="n">
        <v>0</v>
      </c>
      <c r="Q30" s="18" t="n">
        <v>1.81478416</v>
      </c>
      <c r="R30" s="20" t="n">
        <v>0.76847885</v>
      </c>
    </row>
    <row r="31" spans="1:18">
      <c r="A31" s="15" t="s">
        <v>373</v>
      </c>
      <c r="B31" s="17" t="n">
        <v>2750</v>
      </c>
      <c r="C31" s="18">
        <f>(2394.0/B31*100)</f>
        <v/>
      </c>
      <c r="D31" s="19" t="n">
        <v>356</v>
      </c>
      <c r="E31" s="18" t="n">
        <v>51.98214215</v>
      </c>
      <c r="F31" s="20" t="n">
        <v>2.73780071</v>
      </c>
      <c r="G31" s="18" t="n">
        <v>44.91326757</v>
      </c>
      <c r="H31" s="20" t="n">
        <v>2.7368029</v>
      </c>
      <c r="I31" s="18" t="s">
        <v>349</v>
      </c>
      <c r="J31" s="20" t="s">
        <v>349</v>
      </c>
      <c r="K31" s="18" t="n">
        <v>0.84474904</v>
      </c>
      <c r="L31" s="20" t="n">
        <v>0.49424528</v>
      </c>
      <c r="M31" s="18" t="n">
        <v>0</v>
      </c>
      <c r="N31" s="20" t="n">
        <v>0</v>
      </c>
      <c r="O31" s="18" t="n">
        <v>0</v>
      </c>
      <c r="P31" s="20" t="n">
        <v>0</v>
      </c>
      <c r="Q31" s="18" t="n">
        <v>2.25984123</v>
      </c>
      <c r="R31" s="20" t="n">
        <v>0.83896648</v>
      </c>
    </row>
    <row r="32" spans="1:18">
      <c r="A32" s="15" t="s">
        <v>374</v>
      </c>
      <c r="B32" s="17" t="n">
        <v>2269</v>
      </c>
      <c r="C32" s="18">
        <f>(1892.0/B32*100)</f>
        <v/>
      </c>
      <c r="D32" s="19" t="n">
        <v>377</v>
      </c>
      <c r="E32" s="18" t="n">
        <v>51.88663255</v>
      </c>
      <c r="F32" s="20" t="n">
        <v>2.90034749</v>
      </c>
      <c r="G32" s="18" t="n">
        <v>44.97976973</v>
      </c>
      <c r="H32" s="20" t="n">
        <v>2.91033622</v>
      </c>
      <c r="I32" s="18" t="s">
        <v>349</v>
      </c>
      <c r="J32" s="20" t="s">
        <v>349</v>
      </c>
      <c r="K32" s="18" t="n">
        <v>0.75536218</v>
      </c>
      <c r="L32" s="20" t="n">
        <v>0.41368598</v>
      </c>
      <c r="M32" s="18" t="n">
        <v>0</v>
      </c>
      <c r="N32" s="20" t="n">
        <v>0</v>
      </c>
      <c r="O32" s="18" t="n">
        <v>0</v>
      </c>
      <c r="P32" s="20" t="n">
        <v>0</v>
      </c>
      <c r="Q32" s="18" t="n">
        <v>2.37823554</v>
      </c>
      <c r="R32" s="20" t="n">
        <v>0.88286415</v>
      </c>
    </row>
    <row r="33" spans="1:18">
      <c r="A33" s="15" t="s">
        <v>375</v>
      </c>
      <c r="B33" s="17" t="n">
        <v>3674</v>
      </c>
      <c r="C33" s="18">
        <f>(3238.0/B33*100)</f>
        <v/>
      </c>
      <c r="D33" s="19" t="n">
        <v>436</v>
      </c>
      <c r="E33" s="18" t="n">
        <v>52.43046428</v>
      </c>
      <c r="F33" s="20" t="n">
        <v>2.98935027</v>
      </c>
      <c r="G33" s="18" t="n">
        <v>43.73330967</v>
      </c>
      <c r="H33" s="20" t="n">
        <v>2.77889033</v>
      </c>
      <c r="I33" s="18" t="s">
        <v>349</v>
      </c>
      <c r="J33" s="20" t="s">
        <v>349</v>
      </c>
      <c r="K33" s="18" t="n">
        <v>0.77370355</v>
      </c>
      <c r="L33" s="20" t="n">
        <v>0.54896446</v>
      </c>
      <c r="M33" s="18" t="n">
        <v>0</v>
      </c>
      <c r="N33" s="20" t="n">
        <v>0</v>
      </c>
      <c r="O33" s="18" t="n">
        <v>0</v>
      </c>
      <c r="P33" s="20" t="n">
        <v>0</v>
      </c>
      <c r="Q33" s="18" t="n">
        <v>3.0625225</v>
      </c>
      <c r="R33" s="20" t="n">
        <v>0.97701004</v>
      </c>
    </row>
    <row r="34" spans="1:18">
      <c r="A34" s="15" t="s">
        <v>376</v>
      </c>
      <c r="B34" s="17" t="n">
        <v>3315</v>
      </c>
      <c r="C34" s="18">
        <f>(2940.0/B34*100)</f>
        <v/>
      </c>
      <c r="D34" s="19" t="n">
        <v>375</v>
      </c>
      <c r="E34" s="18" t="n">
        <v>58.17488619</v>
      </c>
      <c r="F34" s="20" t="n">
        <v>2.53649251</v>
      </c>
      <c r="G34" s="18" t="n">
        <v>36.79028154</v>
      </c>
      <c r="H34" s="20" t="n">
        <v>2.53673564</v>
      </c>
      <c r="I34" s="18" t="s">
        <v>349</v>
      </c>
      <c r="J34" s="20" t="s">
        <v>349</v>
      </c>
      <c r="K34" s="18" t="n">
        <v>0.21438955</v>
      </c>
      <c r="L34" s="20" t="n">
        <v>0.21285548</v>
      </c>
      <c r="M34" s="18" t="n">
        <v>0</v>
      </c>
      <c r="N34" s="20" t="n">
        <v>0</v>
      </c>
      <c r="O34" s="18" t="n">
        <v>0</v>
      </c>
      <c r="P34" s="20" t="n">
        <v>0</v>
      </c>
      <c r="Q34" s="18" t="n">
        <v>4.82044272</v>
      </c>
      <c r="R34" s="20" t="n">
        <v>1.12155226</v>
      </c>
    </row>
    <row r="35" spans="1:18">
      <c r="A35" s="15" t="s">
        <v>377</v>
      </c>
      <c r="B35" s="17" t="n">
        <v>3505</v>
      </c>
      <c r="C35" s="18">
        <f>(3075.0/B35*100)</f>
        <v/>
      </c>
      <c r="D35" s="19" t="n">
        <v>430</v>
      </c>
      <c r="E35" s="18" t="n">
        <v>50.87586114</v>
      </c>
      <c r="F35" s="20" t="n">
        <v>2.52293084</v>
      </c>
      <c r="G35" s="18" t="n">
        <v>44.11401774</v>
      </c>
      <c r="H35" s="20" t="n">
        <v>2.77354948</v>
      </c>
      <c r="I35" s="18" t="s">
        <v>349</v>
      </c>
      <c r="J35" s="20" t="s">
        <v>349</v>
      </c>
      <c r="K35" s="18" t="n">
        <v>0.11409523</v>
      </c>
      <c r="L35" s="20" t="n">
        <v>0.11528958</v>
      </c>
      <c r="M35" s="18" t="n">
        <v>0</v>
      </c>
      <c r="N35" s="20" t="n">
        <v>0</v>
      </c>
      <c r="O35" s="18" t="n">
        <v>0</v>
      </c>
      <c r="P35" s="20" t="n">
        <v>0</v>
      </c>
      <c r="Q35" s="18" t="n">
        <v>4.89602589</v>
      </c>
      <c r="R35" s="20" t="n">
        <v>1.33074066</v>
      </c>
    </row>
    <row r="36" spans="1:18">
      <c r="A36" s="15" t="s">
        <v>378</v>
      </c>
      <c r="B36" s="17" t="n">
        <v>3332</v>
      </c>
      <c r="C36" s="18">
        <f>(2927.0/B36*100)</f>
        <v/>
      </c>
      <c r="D36" s="19" t="n">
        <v>405</v>
      </c>
      <c r="E36" s="18" t="n">
        <v>55.06818973</v>
      </c>
      <c r="F36" s="20" t="n">
        <v>2.6253434</v>
      </c>
      <c r="G36" s="18" t="n">
        <v>40.97644182</v>
      </c>
      <c r="H36" s="20" t="n">
        <v>2.57831102</v>
      </c>
      <c r="I36" s="18" t="s">
        <v>349</v>
      </c>
      <c r="J36" s="20" t="s">
        <v>349</v>
      </c>
      <c r="K36" s="18" t="n">
        <v>0.63212863</v>
      </c>
      <c r="L36" s="20" t="n">
        <v>0.40365329</v>
      </c>
      <c r="M36" s="18" t="n">
        <v>0</v>
      </c>
      <c r="N36" s="20" t="n">
        <v>0</v>
      </c>
      <c r="O36" s="18" t="n">
        <v>0</v>
      </c>
      <c r="P36" s="20" t="n">
        <v>0</v>
      </c>
      <c r="Q36" s="18" t="n">
        <v>3.32323982</v>
      </c>
      <c r="R36" s="20" t="n">
        <v>0.99192861</v>
      </c>
    </row>
    <row r="37" spans="1:18">
      <c r="A37" s="15" t="s">
        <v>379</v>
      </c>
      <c r="B37" s="17" t="n">
        <v>2727</v>
      </c>
      <c r="C37" s="18">
        <f>(2401.0/B37*100)</f>
        <v/>
      </c>
      <c r="D37" s="19" t="n">
        <v>326</v>
      </c>
      <c r="E37" s="18" t="n">
        <v>51.12521977</v>
      </c>
      <c r="F37" s="20" t="n">
        <v>2.60681706</v>
      </c>
      <c r="G37" s="18" t="n">
        <v>40.67355411</v>
      </c>
      <c r="H37" s="20" t="n">
        <v>2.70884409</v>
      </c>
      <c r="I37" s="18" t="s">
        <v>349</v>
      </c>
      <c r="J37" s="20" t="s">
        <v>349</v>
      </c>
      <c r="K37" s="18" t="n">
        <v>2.60771338</v>
      </c>
      <c r="L37" s="20" t="n">
        <v>0.9599406</v>
      </c>
      <c r="M37" s="18" t="n">
        <v>0</v>
      </c>
      <c r="N37" s="20" t="n">
        <v>0</v>
      </c>
      <c r="O37" s="18" t="n">
        <v>0</v>
      </c>
      <c r="P37" s="20" t="n">
        <v>0</v>
      </c>
      <c r="Q37" s="18" t="n">
        <v>5.59351273</v>
      </c>
      <c r="R37" s="20" t="n">
        <v>1.4351252</v>
      </c>
    </row>
    <row r="38" spans="1:18">
      <c r="A38" s="15" t="s">
        <v>380</v>
      </c>
      <c r="B38" s="17" t="n">
        <v>3053</v>
      </c>
      <c r="C38" s="18">
        <f>(2552.0/B38*100)</f>
        <v/>
      </c>
      <c r="D38" s="19" t="n">
        <v>501</v>
      </c>
      <c r="E38" s="18" t="n">
        <v>53.57674581</v>
      </c>
      <c r="F38" s="20" t="n">
        <v>2.83540386</v>
      </c>
      <c r="G38" s="18" t="n">
        <v>43.04551027</v>
      </c>
      <c r="H38" s="20" t="n">
        <v>2.64171379</v>
      </c>
      <c r="I38" s="18" t="s">
        <v>349</v>
      </c>
      <c r="J38" s="20" t="s">
        <v>349</v>
      </c>
      <c r="K38" s="18" t="n">
        <v>0.59047486</v>
      </c>
      <c r="L38" s="20" t="n">
        <v>0.33512273</v>
      </c>
      <c r="M38" s="18" t="n">
        <v>0</v>
      </c>
      <c r="N38" s="20" t="n">
        <v>0</v>
      </c>
      <c r="O38" s="18" t="n">
        <v>0</v>
      </c>
      <c r="P38" s="20" t="n">
        <v>0</v>
      </c>
      <c r="Q38" s="18" t="n">
        <v>2.78726907</v>
      </c>
      <c r="R38" s="20" t="n">
        <v>0.75516355</v>
      </c>
    </row>
    <row r="39" spans="1:18">
      <c r="A39" s="15" t="s">
        <v>381</v>
      </c>
      <c r="B39" s="17" t="n">
        <v>2957</v>
      </c>
      <c r="C39" s="18">
        <f>(2581.0/B39*100)</f>
        <v/>
      </c>
      <c r="D39" s="19" t="n">
        <v>376</v>
      </c>
      <c r="E39" s="18" t="n">
        <v>70.11788998</v>
      </c>
      <c r="F39" s="20" t="n">
        <v>2.70395413</v>
      </c>
      <c r="G39" s="18" t="n">
        <v>27.44019332</v>
      </c>
      <c r="H39" s="20" t="n">
        <v>2.66655406</v>
      </c>
      <c r="I39" s="18" t="s">
        <v>349</v>
      </c>
      <c r="J39" s="20" t="s">
        <v>349</v>
      </c>
      <c r="K39" s="18" t="n">
        <v>0.38178183</v>
      </c>
      <c r="L39" s="20" t="n">
        <v>0.38132167</v>
      </c>
      <c r="M39" s="18" t="n">
        <v>0</v>
      </c>
      <c r="N39" s="20" t="n">
        <v>0</v>
      </c>
      <c r="O39" s="18" t="n">
        <v>0</v>
      </c>
      <c r="P39" s="20" t="n">
        <v>0</v>
      </c>
      <c r="Q39" s="18" t="n">
        <v>2.06013486</v>
      </c>
      <c r="R39" s="20" t="n">
        <v>0.90742249</v>
      </c>
    </row>
    <row r="40" spans="1:18">
      <c r="A40" s="15" t="s">
        <v>382</v>
      </c>
      <c r="B40" s="17" t="n">
        <v>7235</v>
      </c>
      <c r="C40" s="18">
        <f>(6369.0/B40*100)</f>
        <v/>
      </c>
      <c r="D40" s="19" t="n">
        <v>866</v>
      </c>
      <c r="E40" s="18" t="n">
        <v>57.65057351</v>
      </c>
      <c r="F40" s="20" t="n">
        <v>2.77454374</v>
      </c>
      <c r="G40" s="18" t="n">
        <v>38.74324665</v>
      </c>
      <c r="H40" s="20" t="n">
        <v>2.75294053</v>
      </c>
      <c r="I40" s="18" t="s">
        <v>349</v>
      </c>
      <c r="J40" s="20" t="s">
        <v>349</v>
      </c>
      <c r="K40" s="18" t="n">
        <v>0.36524723</v>
      </c>
      <c r="L40" s="20" t="n">
        <v>0.27573634</v>
      </c>
      <c r="M40" s="18" t="n">
        <v>0</v>
      </c>
      <c r="N40" s="20" t="n">
        <v>0</v>
      </c>
      <c r="O40" s="18" t="n">
        <v>0</v>
      </c>
      <c r="P40" s="20" t="n">
        <v>0</v>
      </c>
      <c r="Q40" s="18" t="n">
        <v>3.24093261</v>
      </c>
      <c r="R40" s="20" t="n">
        <v>0.878545</v>
      </c>
    </row>
    <row r="41" spans="1:18">
      <c r="A41" s="15" t="s">
        <v>383</v>
      </c>
      <c r="B41" s="17" t="n">
        <v>2858</v>
      </c>
      <c r="C41" s="18">
        <f>(2534.0/B41*100)</f>
        <v/>
      </c>
      <c r="D41" s="19" t="n">
        <v>324</v>
      </c>
      <c r="E41" s="18" t="n">
        <v>54.05392448</v>
      </c>
      <c r="F41" s="20" t="n">
        <v>3.26671865</v>
      </c>
      <c r="G41" s="18" t="n">
        <v>44.34271408</v>
      </c>
      <c r="H41" s="20" t="n">
        <v>3.20347639</v>
      </c>
      <c r="I41" s="18" t="s">
        <v>349</v>
      </c>
      <c r="J41" s="20" t="s">
        <v>349</v>
      </c>
      <c r="K41" s="18" t="n">
        <v>0</v>
      </c>
      <c r="L41" s="20" t="n">
        <v>0</v>
      </c>
      <c r="M41" s="18" t="n">
        <v>0</v>
      </c>
      <c r="N41" s="20" t="n">
        <v>0</v>
      </c>
      <c r="O41" s="18" t="n">
        <v>0</v>
      </c>
      <c r="P41" s="20" t="n">
        <v>0</v>
      </c>
      <c r="Q41" s="18" t="n">
        <v>1.60336144</v>
      </c>
      <c r="R41" s="20" t="n">
        <v>0.66090579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(4507.0/B48*100)</f>
        <v/>
      </c>
      <c r="D48" s="19" t="n">
        <v>652</v>
      </c>
      <c r="E48" s="18" t="n">
        <v>56.28767597</v>
      </c>
      <c r="F48" s="20" t="n">
        <v>2.81401812</v>
      </c>
      <c r="G48" s="18" t="n">
        <v>42.72267559</v>
      </c>
      <c r="H48" s="20" t="n">
        <v>2.84857959</v>
      </c>
      <c r="I48" s="18" t="s">
        <v>349</v>
      </c>
      <c r="J48" s="20" t="s">
        <v>349</v>
      </c>
      <c r="K48" s="18" t="n">
        <v>0.21824391</v>
      </c>
      <c r="L48" s="20" t="n">
        <v>0.20665974</v>
      </c>
      <c r="M48" s="18" t="n">
        <v>0</v>
      </c>
      <c r="N48" s="20" t="n">
        <v>0</v>
      </c>
      <c r="O48" s="18" t="n">
        <v>0</v>
      </c>
      <c r="P48" s="20" t="n">
        <v>0</v>
      </c>
      <c r="Q48" s="18" t="n">
        <v>0.77140453</v>
      </c>
      <c r="R48" s="20" t="n">
        <v>0.49723334</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(2465.0/B52*100)</f>
        <v/>
      </c>
      <c r="D52" s="19" t="n">
        <v>331</v>
      </c>
      <c r="E52" s="18" t="n">
        <v>52.54639118</v>
      </c>
      <c r="F52" s="20" t="n">
        <v>2.60309955</v>
      </c>
      <c r="G52" s="18" t="n">
        <v>41.01465767</v>
      </c>
      <c r="H52" s="20" t="n">
        <v>2.6085868</v>
      </c>
      <c r="I52" s="18" t="s">
        <v>349</v>
      </c>
      <c r="J52" s="20" t="s">
        <v>349</v>
      </c>
      <c r="K52" s="18" t="n">
        <v>1.27770604</v>
      </c>
      <c r="L52" s="20" t="n">
        <v>0.64222175</v>
      </c>
      <c r="M52" s="18" t="n">
        <v>0</v>
      </c>
      <c r="N52" s="20" t="n">
        <v>0</v>
      </c>
      <c r="O52" s="18" t="n">
        <v>0</v>
      </c>
      <c r="P52" s="20" t="n">
        <v>0</v>
      </c>
      <c r="Q52" s="18" t="n">
        <v>5.1612451</v>
      </c>
      <c r="R52" s="20" t="n">
        <v>1.30515575</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49.47629672</v>
      </c>
      <c r="F56" s="20" t="n">
        <v>2.90080016</v>
      </c>
      <c r="G56" s="18" t="n">
        <v>49.4358125</v>
      </c>
      <c r="H56" s="20" t="n">
        <v>2.96124038</v>
      </c>
      <c r="I56" s="18" t="s">
        <v>349</v>
      </c>
      <c r="J56" s="20" t="s">
        <v>349</v>
      </c>
      <c r="K56" s="18" t="n">
        <v>0.53494455</v>
      </c>
      <c r="L56" s="20" t="n">
        <v>0.58629277</v>
      </c>
      <c r="M56" s="18" t="n">
        <v>0</v>
      </c>
      <c r="N56" s="20" t="n">
        <v>0</v>
      </c>
      <c r="O56" s="18" t="n">
        <v>0</v>
      </c>
      <c r="P56" s="20" t="n">
        <v>0</v>
      </c>
      <c r="Q56" s="18" t="n">
        <v>0.55294623</v>
      </c>
      <c r="R56" s="20" t="n">
        <v>0.38753862</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(2888.0/B61*100)</f>
        <v/>
      </c>
      <c r="D61" s="19" t="n">
        <v>436</v>
      </c>
      <c r="E61" s="18" t="n">
        <v>62.07301201</v>
      </c>
      <c r="F61" s="20" t="n">
        <v>2.4236669</v>
      </c>
      <c r="G61" s="18" t="n">
        <v>35.0753805</v>
      </c>
      <c r="H61" s="20" t="n">
        <v>2.38060763</v>
      </c>
      <c r="I61" s="18" t="s">
        <v>349</v>
      </c>
      <c r="J61" s="20" t="s">
        <v>349</v>
      </c>
      <c r="K61" s="18" t="n">
        <v>0</v>
      </c>
      <c r="L61" s="20" t="n">
        <v>0</v>
      </c>
      <c r="M61" s="18" t="n">
        <v>0</v>
      </c>
      <c r="N61" s="20" t="n">
        <v>0</v>
      </c>
      <c r="O61" s="18" t="n">
        <v>0</v>
      </c>
      <c r="P61" s="20" t="n">
        <v>0</v>
      </c>
      <c r="Q61" s="18" t="n">
        <v>2.85160749</v>
      </c>
      <c r="R61" s="20" t="n">
        <v>0.70441977</v>
      </c>
    </row>
    <row r="62" spans="1:18">
      <c r="A62" s="15" t="s">
        <v>404</v>
      </c>
      <c r="B62" s="17" t="n">
        <v>2246</v>
      </c>
      <c r="C62" s="18">
        <f>(1969.0/B62*100)</f>
        <v/>
      </c>
      <c r="D62" s="19" t="n">
        <v>277</v>
      </c>
      <c r="E62" s="18" t="n">
        <v>56.71174332</v>
      </c>
      <c r="F62" s="20" t="n">
        <v>2.85958891</v>
      </c>
      <c r="G62" s="18" t="n">
        <v>42.20449996</v>
      </c>
      <c r="H62" s="20" t="n">
        <v>2.84014793</v>
      </c>
      <c r="I62" s="18" t="s">
        <v>349</v>
      </c>
      <c r="J62" s="20" t="s">
        <v>349</v>
      </c>
      <c r="K62" s="18" t="n">
        <v>0</v>
      </c>
      <c r="L62" s="20" t="n">
        <v>0</v>
      </c>
      <c r="M62" s="18" t="n">
        <v>0</v>
      </c>
      <c r="N62" s="20" t="n">
        <v>0</v>
      </c>
      <c r="O62" s="18" t="n">
        <v>0</v>
      </c>
      <c r="P62" s="20" t="n">
        <v>0</v>
      </c>
      <c r="Q62" s="18" t="n">
        <v>1.08375672</v>
      </c>
      <c r="R62" s="20" t="n">
        <v>0.61819698</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(2527.0/B66*100)</f>
        <v/>
      </c>
      <c r="D66" s="19" t="n">
        <v>367</v>
      </c>
      <c r="E66" s="18" t="n">
        <v>65.78707491999999</v>
      </c>
      <c r="F66" s="20" t="n">
        <v>2.73327144</v>
      </c>
      <c r="G66" s="18" t="n">
        <v>24.60861359</v>
      </c>
      <c r="H66" s="20" t="n">
        <v>2.22732863</v>
      </c>
      <c r="I66" s="18" t="s">
        <v>349</v>
      </c>
      <c r="J66" s="20" t="s">
        <v>349</v>
      </c>
      <c r="K66" s="18" t="n">
        <v>0.99706356</v>
      </c>
      <c r="L66" s="20" t="n">
        <v>0.50480593</v>
      </c>
      <c r="M66" s="18" t="n">
        <v>0</v>
      </c>
      <c r="N66" s="20" t="n">
        <v>0</v>
      </c>
      <c r="O66" s="18" t="n">
        <v>0</v>
      </c>
      <c r="P66" s="20" t="n">
        <v>0</v>
      </c>
      <c r="Q66" s="18" t="n">
        <v>8.60724793</v>
      </c>
      <c r="R66" s="20" t="n">
        <v>1.54314079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(5023.0/B68*100)</f>
        <v/>
      </c>
      <c r="D68" s="19" t="n">
        <v>1026</v>
      </c>
      <c r="E68" s="18" t="n">
        <v>69.14579121</v>
      </c>
      <c r="F68" s="20" t="n">
        <v>1.33084719</v>
      </c>
      <c r="G68" s="18" t="n">
        <v>20.41787349</v>
      </c>
      <c r="H68" s="20" t="n">
        <v>1.187899</v>
      </c>
      <c r="I68" s="18" t="s">
        <v>349</v>
      </c>
      <c r="J68" s="20" t="s">
        <v>349</v>
      </c>
      <c r="K68" s="18" t="n">
        <v>2.30600504</v>
      </c>
      <c r="L68" s="20" t="n">
        <v>0.40057511</v>
      </c>
      <c r="M68" s="18" t="n">
        <v>0</v>
      </c>
      <c r="N68" s="20" t="n">
        <v>0</v>
      </c>
      <c r="O68" s="18" t="n">
        <v>0</v>
      </c>
      <c r="P68" s="20" t="n">
        <v>0</v>
      </c>
      <c r="Q68" s="18" t="n">
        <v>8.13033025</v>
      </c>
      <c r="R68" s="20" t="n">
        <v>0.87383214</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(2562.0/B70*100)</f>
        <v/>
      </c>
      <c r="D70" s="19" t="n">
        <v>367</v>
      </c>
      <c r="E70" s="18" t="n">
        <v>51.95512228</v>
      </c>
      <c r="F70" s="20" t="n">
        <v>3.39901271</v>
      </c>
      <c r="G70" s="18" t="n">
        <v>45.90675288</v>
      </c>
      <c r="H70" s="20" t="n">
        <v>3.83729722</v>
      </c>
      <c r="I70" s="18" t="s">
        <v>349</v>
      </c>
      <c r="J70" s="20" t="s">
        <v>349</v>
      </c>
      <c r="K70" s="18" t="n">
        <v>0</v>
      </c>
      <c r="L70" s="20" t="n">
        <v>0</v>
      </c>
      <c r="M70" s="18" t="n">
        <v>0</v>
      </c>
      <c r="N70" s="20" t="n">
        <v>0</v>
      </c>
      <c r="O70" s="18" t="n">
        <v>0</v>
      </c>
      <c r="P70" s="20" t="n">
        <v>0</v>
      </c>
      <c r="Q70" s="18" t="n">
        <v>2.13812484</v>
      </c>
      <c r="R70" s="20" t="n">
        <v>1.61036554</v>
      </c>
    </row>
    <row r="71" spans="1:18">
      <c r="A71" s="15" t="s">
        <v>413</v>
      </c>
      <c r="B71" s="17" t="n">
        <v>3142</v>
      </c>
      <c r="C71" s="18">
        <f>(2754.0/B71*100)</f>
        <v/>
      </c>
      <c r="D71" s="19" t="n">
        <v>388</v>
      </c>
      <c r="E71" s="18" t="n">
        <v>44.46399488</v>
      </c>
      <c r="F71" s="20" t="n">
        <v>2.67981293</v>
      </c>
      <c r="G71" s="18" t="n">
        <v>54.93453156</v>
      </c>
      <c r="H71" s="20" t="n">
        <v>2.684853</v>
      </c>
      <c r="I71" s="18" t="s">
        <v>349</v>
      </c>
      <c r="J71" s="20" t="s">
        <v>349</v>
      </c>
      <c r="K71" s="18" t="n">
        <v>0.39739769</v>
      </c>
      <c r="L71" s="20" t="n">
        <v>0.28720528</v>
      </c>
      <c r="M71" s="18" t="n">
        <v>0</v>
      </c>
      <c r="N71" s="20" t="n">
        <v>0</v>
      </c>
      <c r="O71" s="18" t="n">
        <v>0</v>
      </c>
      <c r="P71" s="20" t="n">
        <v>0</v>
      </c>
      <c r="Q71" s="18" t="n">
        <v>0.20407587</v>
      </c>
      <c r="R71" s="20" t="n">
        <v>0.1989623</v>
      </c>
    </row>
    <row r="72" spans="1:18">
      <c r="A72" s="15" t="s">
        <v>414</v>
      </c>
      <c r="B72" s="17" t="n">
        <v>3889</v>
      </c>
      <c r="C72" s="18">
        <f>(3415.0/B72*100)</f>
        <v/>
      </c>
      <c r="D72" s="19" t="n">
        <v>474</v>
      </c>
      <c r="E72" s="18" t="n">
        <v>55.85303762</v>
      </c>
      <c r="F72" s="20" t="n">
        <v>2.64495228</v>
      </c>
      <c r="G72" s="18" t="n">
        <v>43.14790685</v>
      </c>
      <c r="H72" s="20" t="n">
        <v>2.6451221</v>
      </c>
      <c r="I72" s="18" t="s">
        <v>349</v>
      </c>
      <c r="J72" s="20" t="s">
        <v>349</v>
      </c>
      <c r="K72" s="18" t="n">
        <v>0.49840339</v>
      </c>
      <c r="L72" s="20" t="n">
        <v>0.32519364</v>
      </c>
      <c r="M72" s="18" t="n">
        <v>0</v>
      </c>
      <c r="N72" s="20" t="n">
        <v>0</v>
      </c>
      <c r="O72" s="18" t="n">
        <v>0</v>
      </c>
      <c r="P72" s="20" t="n">
        <v>0</v>
      </c>
      <c r="Q72" s="18" t="n">
        <v>0.50065213</v>
      </c>
      <c r="R72" s="20" t="n">
        <v>0.29945374</v>
      </c>
    </row>
    <row r="73" spans="1:18">
      <c r="A73" s="15" t="s">
        <v>415</v>
      </c>
      <c r="B73" s="17" t="n">
        <v>3597</v>
      </c>
      <c r="C73" s="18">
        <f>(3133.0/B73*100)</f>
        <v/>
      </c>
      <c r="D73" s="19" t="n">
        <v>464</v>
      </c>
      <c r="E73" s="18" t="n">
        <v>78.52967443999999</v>
      </c>
      <c r="F73" s="20" t="n">
        <v>2.55351351</v>
      </c>
      <c r="G73" s="18" t="n">
        <v>19.37899838</v>
      </c>
      <c r="H73" s="20" t="n">
        <v>2.55659763</v>
      </c>
      <c r="I73" s="18" t="s">
        <v>349</v>
      </c>
      <c r="J73" s="20" t="s">
        <v>349</v>
      </c>
      <c r="K73" s="18" t="n">
        <v>0</v>
      </c>
      <c r="L73" s="20" t="n">
        <v>0</v>
      </c>
      <c r="M73" s="18" t="n">
        <v>0</v>
      </c>
      <c r="N73" s="20" t="n">
        <v>0</v>
      </c>
      <c r="O73" s="18" t="n">
        <v>0</v>
      </c>
      <c r="P73" s="20" t="n">
        <v>0</v>
      </c>
      <c r="Q73" s="18" t="n">
        <v>2.09132718</v>
      </c>
      <c r="R73" s="20" t="n">
        <v>1.05907322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(3646.0/B81*100)</f>
        <v/>
      </c>
      <c r="D81" s="19" t="n">
        <v>517</v>
      </c>
      <c r="E81" s="18" t="n">
        <v>62.13398758</v>
      </c>
      <c r="F81" s="20" t="n">
        <v>2.65760463</v>
      </c>
      <c r="G81" s="18" t="n">
        <v>37.55285095</v>
      </c>
      <c r="H81" s="20" t="n">
        <v>2.80699666</v>
      </c>
      <c r="I81" s="18" t="s">
        <v>349</v>
      </c>
      <c r="J81" s="20" t="s">
        <v>349</v>
      </c>
      <c r="K81" s="18" t="n">
        <v>0.01975439</v>
      </c>
      <c r="L81" s="20" t="n">
        <v>0.66999652</v>
      </c>
      <c r="M81" s="18" t="n">
        <v>0</v>
      </c>
      <c r="N81" s="20" t="n">
        <v>0</v>
      </c>
      <c r="O81" s="18" t="n">
        <v>0</v>
      </c>
      <c r="P81" s="20" t="n">
        <v>0</v>
      </c>
      <c r="Q81" s="18" t="n">
        <v>0.29340708</v>
      </c>
      <c r="R81" s="20" t="n">
        <v>0.29130927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(6481.0/B7*100)</f>
        <v/>
      </c>
      <c r="D7" s="19" t="n">
        <v>886</v>
      </c>
      <c r="E7" s="18" t="n">
        <v>32.4201617</v>
      </c>
      <c r="F7" s="20" t="n">
        <v>1.81436348</v>
      </c>
      <c r="G7" s="18" t="n">
        <v>60.48009708</v>
      </c>
      <c r="H7" s="20" t="n">
        <v>2.04776935</v>
      </c>
      <c r="I7" s="18" t="s">
        <v>349</v>
      </c>
      <c r="J7" s="20" t="s">
        <v>349</v>
      </c>
      <c r="K7" s="18" t="n">
        <v>1.01226504</v>
      </c>
      <c r="L7" s="20" t="n">
        <v>0.39736458</v>
      </c>
      <c r="M7" s="18" t="n">
        <v>0</v>
      </c>
      <c r="N7" s="20" t="n">
        <v>0</v>
      </c>
      <c r="O7" s="18" t="n">
        <v>0</v>
      </c>
      <c r="P7" s="20" t="n">
        <v>0</v>
      </c>
      <c r="Q7" s="18" t="n">
        <v>6.08747618</v>
      </c>
      <c r="R7" s="20" t="n">
        <v>1.11634102</v>
      </c>
    </row>
    <row r="8" spans="1:18">
      <c r="A8" s="15" t="s">
        <v>350</v>
      </c>
      <c r="B8" s="17" t="n">
        <v>3564</v>
      </c>
      <c r="C8" s="18">
        <f>(3157.0/B8*100)</f>
        <v/>
      </c>
      <c r="D8" s="19" t="n">
        <v>407</v>
      </c>
      <c r="E8" s="18" t="n">
        <v>28.01343066</v>
      </c>
      <c r="F8" s="20" t="n">
        <v>2.82404994</v>
      </c>
      <c r="G8" s="18" t="n">
        <v>67.00576639000001</v>
      </c>
      <c r="H8" s="20" t="n">
        <v>2.97691626</v>
      </c>
      <c r="I8" s="18" t="s">
        <v>349</v>
      </c>
      <c r="J8" s="20" t="s">
        <v>349</v>
      </c>
      <c r="K8" s="18" t="n">
        <v>1.19569222</v>
      </c>
      <c r="L8" s="20" t="n">
        <v>0.59198006</v>
      </c>
      <c r="M8" s="18" t="n">
        <v>0</v>
      </c>
      <c r="N8" s="20" t="n">
        <v>0</v>
      </c>
      <c r="O8" s="18" t="n">
        <v>0</v>
      </c>
      <c r="P8" s="20" t="n">
        <v>0</v>
      </c>
      <c r="Q8" s="18" t="n">
        <v>3.78511073</v>
      </c>
      <c r="R8" s="20" t="n">
        <v>0.64438291</v>
      </c>
    </row>
    <row r="9" spans="1:18">
      <c r="A9" s="15" t="s">
        <v>351</v>
      </c>
      <c r="B9" s="17" t="n">
        <v>4899</v>
      </c>
      <c r="C9" s="18">
        <f>(4310.0/B9*100)</f>
        <v/>
      </c>
      <c r="D9" s="19" t="n">
        <v>589</v>
      </c>
      <c r="E9" s="18" t="n">
        <v>23.68988432</v>
      </c>
      <c r="F9" s="20" t="n">
        <v>2.01421907</v>
      </c>
      <c r="G9" s="18" t="n">
        <v>67.32927789</v>
      </c>
      <c r="H9" s="20" t="n">
        <v>2.31360336</v>
      </c>
      <c r="I9" s="18" t="s">
        <v>349</v>
      </c>
      <c r="J9" s="20" t="s">
        <v>349</v>
      </c>
      <c r="K9" s="18" t="n">
        <v>1.49945861</v>
      </c>
      <c r="L9" s="20" t="n">
        <v>0.54824587</v>
      </c>
      <c r="M9" s="18" t="n">
        <v>0</v>
      </c>
      <c r="N9" s="20" t="n">
        <v>0</v>
      </c>
      <c r="O9" s="18" t="n">
        <v>0</v>
      </c>
      <c r="P9" s="20" t="n">
        <v>0</v>
      </c>
      <c r="Q9" s="18" t="n">
        <v>7.48137917</v>
      </c>
      <c r="R9" s="20" t="n">
        <v>1.15912898</v>
      </c>
    </row>
    <row r="10" spans="1:18">
      <c r="A10" s="15" t="s">
        <v>352</v>
      </c>
      <c r="B10" s="17" t="n">
        <v>10036</v>
      </c>
      <c r="C10" s="18">
        <f>(8809.0/B10*100)</f>
        <v/>
      </c>
      <c r="D10" s="19" t="n">
        <v>1227</v>
      </c>
      <c r="E10" s="18" t="n">
        <v>25.16354947</v>
      </c>
      <c r="F10" s="20" t="n">
        <v>1.69347834</v>
      </c>
      <c r="G10" s="18" t="n">
        <v>71.6111832</v>
      </c>
      <c r="H10" s="20" t="n">
        <v>1.87323338</v>
      </c>
      <c r="I10" s="18" t="s">
        <v>349</v>
      </c>
      <c r="J10" s="20" t="s">
        <v>349</v>
      </c>
      <c r="K10" s="18" t="n">
        <v>0.78182181</v>
      </c>
      <c r="L10" s="20" t="n">
        <v>0.33765171</v>
      </c>
      <c r="M10" s="18" t="n">
        <v>0</v>
      </c>
      <c r="N10" s="20" t="n">
        <v>0</v>
      </c>
      <c r="O10" s="18" t="n">
        <v>0</v>
      </c>
      <c r="P10" s="20" t="n">
        <v>0</v>
      </c>
      <c r="Q10" s="18" t="n">
        <v>2.44344553</v>
      </c>
      <c r="R10" s="20" t="n">
        <v>0.58764891</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(3062.0/B12*100)</f>
        <v/>
      </c>
      <c r="D12" s="19" t="n">
        <v>410</v>
      </c>
      <c r="E12" s="18" t="n">
        <v>26.20881984</v>
      </c>
      <c r="F12" s="20" t="n">
        <v>2.49251899</v>
      </c>
      <c r="G12" s="18" t="n">
        <v>68.45518727</v>
      </c>
      <c r="H12" s="20" t="n">
        <v>2.68495069</v>
      </c>
      <c r="I12" s="18" t="s">
        <v>349</v>
      </c>
      <c r="J12" s="20" t="s">
        <v>349</v>
      </c>
      <c r="K12" s="18" t="n">
        <v>0.22472596</v>
      </c>
      <c r="L12" s="20" t="n">
        <v>0.23754986</v>
      </c>
      <c r="M12" s="18" t="n">
        <v>0</v>
      </c>
      <c r="N12" s="20" t="n">
        <v>0</v>
      </c>
      <c r="O12" s="18" t="n">
        <v>0</v>
      </c>
      <c r="P12" s="20" t="n">
        <v>0</v>
      </c>
      <c r="Q12" s="18" t="n">
        <v>5.11126693</v>
      </c>
      <c r="R12" s="20" t="n">
        <v>1.236875</v>
      </c>
    </row>
    <row r="13" spans="1:18">
      <c r="A13" s="15" t="s">
        <v>355</v>
      </c>
      <c r="B13" s="17" t="n">
        <v>3559</v>
      </c>
      <c r="C13" s="18">
        <f>(3140.0/B13*100)</f>
        <v/>
      </c>
      <c r="D13" s="19" t="n">
        <v>419</v>
      </c>
      <c r="E13" s="18" t="n">
        <v>27.98084425</v>
      </c>
      <c r="F13" s="20" t="n">
        <v>2.62795538</v>
      </c>
      <c r="G13" s="18" t="n">
        <v>70.58949749999999</v>
      </c>
      <c r="H13" s="20" t="n">
        <v>2.68396416</v>
      </c>
      <c r="I13" s="18" t="s">
        <v>349</v>
      </c>
      <c r="J13" s="20" t="s">
        <v>349</v>
      </c>
      <c r="K13" s="18" t="n">
        <v>0.12171697</v>
      </c>
      <c r="L13" s="20" t="n">
        <v>0.12320393</v>
      </c>
      <c r="M13" s="18" t="n">
        <v>0</v>
      </c>
      <c r="N13" s="20" t="n">
        <v>0</v>
      </c>
      <c r="O13" s="18" t="n">
        <v>0</v>
      </c>
      <c r="P13" s="20" t="n">
        <v>0</v>
      </c>
      <c r="Q13" s="18" t="n">
        <v>1.30794128</v>
      </c>
      <c r="R13" s="20" t="n">
        <v>0.47953785</v>
      </c>
    </row>
    <row r="14" spans="1:18">
      <c r="A14" s="15" t="s">
        <v>356</v>
      </c>
      <c r="B14" s="17" t="n">
        <v>2799</v>
      </c>
      <c r="C14" s="18">
        <f>(2420.0/B14*100)</f>
        <v/>
      </c>
      <c r="D14" s="19" t="n">
        <v>379</v>
      </c>
      <c r="E14" s="18" t="n">
        <v>20.2768234</v>
      </c>
      <c r="F14" s="20" t="n">
        <v>2.36564271</v>
      </c>
      <c r="G14" s="18" t="n">
        <v>76.74479563</v>
      </c>
      <c r="H14" s="20" t="n">
        <v>2.36083906</v>
      </c>
      <c r="I14" s="18" t="s">
        <v>349</v>
      </c>
      <c r="J14" s="20" t="s">
        <v>349</v>
      </c>
      <c r="K14" s="18" t="n">
        <v>0.4047045</v>
      </c>
      <c r="L14" s="20" t="n">
        <v>0.28579983</v>
      </c>
      <c r="M14" s="18" t="n">
        <v>0</v>
      </c>
      <c r="N14" s="20" t="n">
        <v>0</v>
      </c>
      <c r="O14" s="18" t="n">
        <v>0</v>
      </c>
      <c r="P14" s="20" t="n">
        <v>0</v>
      </c>
      <c r="Q14" s="18" t="n">
        <v>2.57367647</v>
      </c>
      <c r="R14" s="20" t="n">
        <v>0.89617006</v>
      </c>
    </row>
    <row r="15" spans="1:18">
      <c r="A15" s="15" t="s">
        <v>357</v>
      </c>
      <c r="B15" s="17" t="n">
        <v>3019</v>
      </c>
      <c r="C15" s="18">
        <f>(2641.0/B15*100)</f>
        <v/>
      </c>
      <c r="D15" s="19" t="n">
        <v>378</v>
      </c>
      <c r="E15" s="18" t="n">
        <v>31.20610401</v>
      </c>
      <c r="F15" s="20" t="n">
        <v>2.38243705</v>
      </c>
      <c r="G15" s="18" t="n">
        <v>63.42631395</v>
      </c>
      <c r="H15" s="20" t="n">
        <v>2.52954408</v>
      </c>
      <c r="I15" s="18" t="s">
        <v>349</v>
      </c>
      <c r="J15" s="20" t="s">
        <v>349</v>
      </c>
      <c r="K15" s="18" t="n">
        <v>0.47891596</v>
      </c>
      <c r="L15" s="20" t="n">
        <v>0.3399262</v>
      </c>
      <c r="M15" s="18" t="n">
        <v>0</v>
      </c>
      <c r="N15" s="20" t="n">
        <v>0</v>
      </c>
      <c r="O15" s="18" t="n">
        <v>0</v>
      </c>
      <c r="P15" s="20" t="n">
        <v>0</v>
      </c>
      <c r="Q15" s="18" t="n">
        <v>4.88866608</v>
      </c>
      <c r="R15" s="20" t="n">
        <v>1.18194247</v>
      </c>
    </row>
    <row r="16" spans="1:18">
      <c r="A16" s="15" t="s">
        <v>358</v>
      </c>
      <c r="B16" s="17" t="n">
        <v>2997</v>
      </c>
      <c r="C16" s="18">
        <f>(2611.0/B16*100)</f>
        <v/>
      </c>
      <c r="D16" s="19" t="n">
        <v>386</v>
      </c>
      <c r="E16" s="18" t="n">
        <v>26.10894843</v>
      </c>
      <c r="F16" s="20" t="n">
        <v>2.19986814</v>
      </c>
      <c r="G16" s="18" t="n">
        <v>60.16014116</v>
      </c>
      <c r="H16" s="20" t="n">
        <v>2.13011374</v>
      </c>
      <c r="I16" s="18" t="s">
        <v>349</v>
      </c>
      <c r="J16" s="20" t="s">
        <v>349</v>
      </c>
      <c r="K16" s="18" t="n">
        <v>2.2891959</v>
      </c>
      <c r="L16" s="20" t="n">
        <v>0.82787823</v>
      </c>
      <c r="M16" s="18" t="n">
        <v>0</v>
      </c>
      <c r="N16" s="20" t="n">
        <v>0</v>
      </c>
      <c r="O16" s="18" t="n">
        <v>0</v>
      </c>
      <c r="P16" s="20" t="n">
        <v>0</v>
      </c>
      <c r="Q16" s="18" t="n">
        <v>11.44171451</v>
      </c>
      <c r="R16" s="20" t="n">
        <v>1.59824203</v>
      </c>
    </row>
    <row r="17" spans="1:18">
      <c r="A17" s="15" t="s">
        <v>359</v>
      </c>
      <c r="B17" s="17" t="n">
        <v>3307</v>
      </c>
      <c r="C17" s="18">
        <f>(2914.0/B17*100)</f>
        <v/>
      </c>
      <c r="D17" s="19" t="n">
        <v>393</v>
      </c>
      <c r="E17" s="18" t="n">
        <v>25.61906021</v>
      </c>
      <c r="F17" s="20" t="n">
        <v>2.20830685</v>
      </c>
      <c r="G17" s="18" t="n">
        <v>66.67268708</v>
      </c>
      <c r="H17" s="20" t="n">
        <v>2.47022379</v>
      </c>
      <c r="I17" s="18" t="s">
        <v>349</v>
      </c>
      <c r="J17" s="20" t="s">
        <v>349</v>
      </c>
      <c r="K17" s="18" t="n">
        <v>0.49282592</v>
      </c>
      <c r="L17" s="20" t="n">
        <v>0.28907888</v>
      </c>
      <c r="M17" s="18" t="n">
        <v>0</v>
      </c>
      <c r="N17" s="20" t="n">
        <v>0</v>
      </c>
      <c r="O17" s="18" t="n">
        <v>0</v>
      </c>
      <c r="P17" s="20" t="n">
        <v>0</v>
      </c>
      <c r="Q17" s="18" t="n">
        <v>7.21542679</v>
      </c>
      <c r="R17" s="20" t="n">
        <v>1.42913851</v>
      </c>
    </row>
    <row r="18" spans="1:18">
      <c r="A18" s="15" t="s">
        <v>360</v>
      </c>
      <c r="B18" s="17" t="n">
        <v>2826</v>
      </c>
      <c r="C18" s="18">
        <f>(2453.0/B18*100)</f>
        <v/>
      </c>
      <c r="D18" s="19" t="n">
        <v>373</v>
      </c>
      <c r="E18" s="18" t="n">
        <v>37.32419987</v>
      </c>
      <c r="F18" s="20" t="n">
        <v>2.83077227</v>
      </c>
      <c r="G18" s="18" t="n">
        <v>49.67815789</v>
      </c>
      <c r="H18" s="20" t="n">
        <v>2.80050916</v>
      </c>
      <c r="I18" s="18" t="s">
        <v>349</v>
      </c>
      <c r="J18" s="20" t="s">
        <v>349</v>
      </c>
      <c r="K18" s="18" t="n">
        <v>1.09595033</v>
      </c>
      <c r="L18" s="20" t="n">
        <v>0.64749945</v>
      </c>
      <c r="M18" s="18" t="n">
        <v>0</v>
      </c>
      <c r="N18" s="20" t="n">
        <v>0</v>
      </c>
      <c r="O18" s="18" t="n">
        <v>0</v>
      </c>
      <c r="P18" s="20" t="n">
        <v>0</v>
      </c>
      <c r="Q18" s="18" t="n">
        <v>11.90169191</v>
      </c>
      <c r="R18" s="20" t="n">
        <v>1.99151804</v>
      </c>
    </row>
    <row r="19" spans="1:18">
      <c r="A19" s="15" t="s">
        <v>361</v>
      </c>
      <c r="B19" s="17" t="n">
        <v>2808</v>
      </c>
      <c r="C19" s="18">
        <f>(2479.0/B19*100)</f>
        <v/>
      </c>
      <c r="D19" s="19" t="n">
        <v>329</v>
      </c>
      <c r="E19" s="18" t="n">
        <v>29.29663798</v>
      </c>
      <c r="F19" s="20" t="n">
        <v>2.70522634</v>
      </c>
      <c r="G19" s="18" t="n">
        <v>62.45871483</v>
      </c>
      <c r="H19" s="20" t="n">
        <v>2.74503469</v>
      </c>
      <c r="I19" s="18" t="s">
        <v>349</v>
      </c>
      <c r="J19" s="20" t="s">
        <v>349</v>
      </c>
      <c r="K19" s="18" t="n">
        <v>0</v>
      </c>
      <c r="L19" s="20" t="n">
        <v>0</v>
      </c>
      <c r="M19" s="18" t="n">
        <v>0</v>
      </c>
      <c r="N19" s="20" t="n">
        <v>0</v>
      </c>
      <c r="O19" s="18" t="n">
        <v>0</v>
      </c>
      <c r="P19" s="20" t="n">
        <v>0</v>
      </c>
      <c r="Q19" s="18" t="n">
        <v>8.24464719</v>
      </c>
      <c r="R19" s="20" t="n">
        <v>1.69318005</v>
      </c>
    </row>
    <row r="20" spans="1:18">
      <c r="A20" s="15" t="s">
        <v>362</v>
      </c>
      <c r="B20" s="17" t="n">
        <v>1630</v>
      </c>
      <c r="C20" s="18">
        <f>(1430.0/B20*100)</f>
        <v/>
      </c>
      <c r="D20" s="19" t="n">
        <v>200</v>
      </c>
      <c r="E20" s="18" t="n">
        <v>37.49159099</v>
      </c>
      <c r="F20" s="20" t="n">
        <v>3.42987836</v>
      </c>
      <c r="G20" s="18" t="n">
        <v>53.01573887</v>
      </c>
      <c r="H20" s="20" t="n">
        <v>3.54967623</v>
      </c>
      <c r="I20" s="18" t="s">
        <v>349</v>
      </c>
      <c r="J20" s="20" t="s">
        <v>349</v>
      </c>
      <c r="K20" s="18" t="n">
        <v>2.8780484</v>
      </c>
      <c r="L20" s="20" t="n">
        <v>1.14676217</v>
      </c>
      <c r="M20" s="18" t="n">
        <v>0</v>
      </c>
      <c r="N20" s="20" t="n">
        <v>0</v>
      </c>
      <c r="O20" s="18" t="n">
        <v>0</v>
      </c>
      <c r="P20" s="20" t="n">
        <v>0</v>
      </c>
      <c r="Q20" s="18" t="n">
        <v>6.61462175</v>
      </c>
      <c r="R20" s="20" t="n">
        <v>1.729398</v>
      </c>
    </row>
    <row r="21" spans="1:18">
      <c r="A21" s="15" t="s">
        <v>363</v>
      </c>
      <c r="B21" s="17" t="n">
        <v>2908</v>
      </c>
      <c r="C21" s="18">
        <f>(2421.0/B21*100)</f>
        <v/>
      </c>
      <c r="D21" s="19" t="n">
        <v>487</v>
      </c>
      <c r="E21" s="18" t="n">
        <v>26.75924116</v>
      </c>
      <c r="F21" s="20" t="n">
        <v>2.29801104</v>
      </c>
      <c r="G21" s="18" t="n">
        <v>67.46522375000001</v>
      </c>
      <c r="H21" s="20" t="n">
        <v>2.48555262</v>
      </c>
      <c r="I21" s="18" t="s">
        <v>349</v>
      </c>
      <c r="J21" s="20" t="s">
        <v>349</v>
      </c>
      <c r="K21" s="18" t="n">
        <v>0.86195628</v>
      </c>
      <c r="L21" s="20" t="n">
        <v>0.51321034</v>
      </c>
      <c r="M21" s="18" t="n">
        <v>0</v>
      </c>
      <c r="N21" s="20" t="n">
        <v>0</v>
      </c>
      <c r="O21" s="18" t="n">
        <v>0</v>
      </c>
      <c r="P21" s="20" t="n">
        <v>0</v>
      </c>
      <c r="Q21" s="18" t="n">
        <v>4.91357881</v>
      </c>
      <c r="R21" s="20" t="n">
        <v>1.04179933</v>
      </c>
    </row>
    <row r="22" spans="1:18">
      <c r="A22" s="15" t="s">
        <v>364</v>
      </c>
      <c r="B22" s="17" t="n">
        <v>2931</v>
      </c>
      <c r="C22" s="18">
        <f>(2569.0/B22*100)</f>
        <v/>
      </c>
      <c r="D22" s="19" t="n">
        <v>362</v>
      </c>
      <c r="E22" s="18" t="n">
        <v>38.91039095</v>
      </c>
      <c r="F22" s="20" t="n">
        <v>3.20881531</v>
      </c>
      <c r="G22" s="18" t="n">
        <v>53.7209672</v>
      </c>
      <c r="H22" s="20" t="n">
        <v>3.05389722</v>
      </c>
      <c r="I22" s="18" t="s">
        <v>349</v>
      </c>
      <c r="J22" s="20" t="s">
        <v>349</v>
      </c>
      <c r="K22" s="18" t="n">
        <v>1.16266079</v>
      </c>
      <c r="L22" s="20" t="n">
        <v>0.56200088</v>
      </c>
      <c r="M22" s="18" t="n">
        <v>0</v>
      </c>
      <c r="N22" s="20" t="n">
        <v>0</v>
      </c>
      <c r="O22" s="18" t="n">
        <v>0</v>
      </c>
      <c r="P22" s="20" t="n">
        <v>0</v>
      </c>
      <c r="Q22" s="18" t="n">
        <v>6.20598106</v>
      </c>
      <c r="R22" s="20" t="n">
        <v>1.34838917</v>
      </c>
    </row>
    <row r="23" spans="1:18">
      <c r="A23" s="15" t="s">
        <v>365</v>
      </c>
      <c r="B23" s="17" t="n">
        <v>5791</v>
      </c>
      <c r="C23" s="18">
        <f>(5093.0/B23*100)</f>
        <v/>
      </c>
      <c r="D23" s="19" t="n">
        <v>698</v>
      </c>
      <c r="E23" s="18" t="n">
        <v>25.24859761</v>
      </c>
      <c r="F23" s="20" t="n">
        <v>2.26465776</v>
      </c>
      <c r="G23" s="18" t="n">
        <v>67.22357968</v>
      </c>
      <c r="H23" s="20" t="n">
        <v>2.43166935</v>
      </c>
      <c r="I23" s="18" t="s">
        <v>349</v>
      </c>
      <c r="J23" s="20" t="s">
        <v>349</v>
      </c>
      <c r="K23" s="18" t="n">
        <v>0.82893646</v>
      </c>
      <c r="L23" s="20" t="n">
        <v>0.48069515</v>
      </c>
      <c r="M23" s="18" t="n">
        <v>0</v>
      </c>
      <c r="N23" s="20" t="n">
        <v>0</v>
      </c>
      <c r="O23" s="18" t="n">
        <v>0</v>
      </c>
      <c r="P23" s="20" t="n">
        <v>0</v>
      </c>
      <c r="Q23" s="18" t="n">
        <v>6.69888625</v>
      </c>
      <c r="R23" s="20" t="n">
        <v>1.4173046</v>
      </c>
    </row>
    <row r="24" spans="1:18">
      <c r="A24" s="15" t="s">
        <v>366</v>
      </c>
      <c r="B24" s="17" t="n">
        <v>3338</v>
      </c>
      <c r="C24" s="18">
        <f>(2916.0/B24*100)</f>
        <v/>
      </c>
      <c r="D24" s="19" t="n">
        <v>422</v>
      </c>
      <c r="E24" s="18" t="n">
        <v>17.3019435</v>
      </c>
      <c r="F24" s="20" t="n">
        <v>2.07352555</v>
      </c>
      <c r="G24" s="18" t="n">
        <v>76.39331242</v>
      </c>
      <c r="H24" s="20" t="n">
        <v>2.15017574</v>
      </c>
      <c r="I24" s="18" t="s">
        <v>349</v>
      </c>
      <c r="J24" s="20" t="s">
        <v>349</v>
      </c>
      <c r="K24" s="18" t="n">
        <v>0.6475823000000001</v>
      </c>
      <c r="L24" s="20" t="n">
        <v>0.38134555</v>
      </c>
      <c r="M24" s="18" t="n">
        <v>0</v>
      </c>
      <c r="N24" s="20" t="n">
        <v>0</v>
      </c>
      <c r="O24" s="18" t="n">
        <v>0</v>
      </c>
      <c r="P24" s="20" t="n">
        <v>0</v>
      </c>
      <c r="Q24" s="18" t="n">
        <v>5.65716179</v>
      </c>
      <c r="R24" s="20" t="n">
        <v>0.97164114</v>
      </c>
    </row>
    <row r="25" spans="1:18">
      <c r="A25" s="15" t="s">
        <v>367</v>
      </c>
      <c r="B25" s="17" t="n">
        <v>2912</v>
      </c>
      <c r="C25" s="18">
        <f>(2542.0/B25*100)</f>
        <v/>
      </c>
      <c r="D25" s="19" t="n">
        <v>370</v>
      </c>
      <c r="E25" s="18" t="n">
        <v>23.48963499</v>
      </c>
      <c r="F25" s="20" t="n">
        <v>2.05290571</v>
      </c>
      <c r="G25" s="18" t="n">
        <v>71.55070593000001</v>
      </c>
      <c r="H25" s="20" t="n">
        <v>2.37663133</v>
      </c>
      <c r="I25" s="18" t="s">
        <v>349</v>
      </c>
      <c r="J25" s="20" t="s">
        <v>349</v>
      </c>
      <c r="K25" s="18" t="n">
        <v>0.2974174</v>
      </c>
      <c r="L25" s="20" t="n">
        <v>0.29624331</v>
      </c>
      <c r="M25" s="18" t="n">
        <v>0</v>
      </c>
      <c r="N25" s="20" t="n">
        <v>0</v>
      </c>
      <c r="O25" s="18" t="n">
        <v>0</v>
      </c>
      <c r="P25" s="20" t="n">
        <v>0</v>
      </c>
      <c r="Q25" s="18" t="n">
        <v>4.66224168</v>
      </c>
      <c r="R25" s="20" t="n">
        <v>1.21349674</v>
      </c>
    </row>
    <row r="26" spans="1:18">
      <c r="A26" s="15" t="s">
        <v>368</v>
      </c>
      <c r="B26" s="17" t="n">
        <v>2450</v>
      </c>
      <c r="C26" s="18">
        <f>(2163.0/B26*100)</f>
        <v/>
      </c>
      <c r="D26" s="19" t="n">
        <v>287</v>
      </c>
      <c r="E26" s="18" t="n">
        <v>30.60334354</v>
      </c>
      <c r="F26" s="20" t="n">
        <v>2.98003494</v>
      </c>
      <c r="G26" s="18" t="n">
        <v>66.45591388</v>
      </c>
      <c r="H26" s="20" t="n">
        <v>3.06750245</v>
      </c>
      <c r="I26" s="18" t="s">
        <v>349</v>
      </c>
      <c r="J26" s="20" t="s">
        <v>349</v>
      </c>
      <c r="K26" s="18" t="n">
        <v>0</v>
      </c>
      <c r="L26" s="20" t="n">
        <v>0</v>
      </c>
      <c r="M26" s="18" t="n">
        <v>0</v>
      </c>
      <c r="N26" s="20" t="n">
        <v>0</v>
      </c>
      <c r="O26" s="18" t="n">
        <v>0</v>
      </c>
      <c r="P26" s="20" t="n">
        <v>0</v>
      </c>
      <c r="Q26" s="18" t="n">
        <v>2.94074258</v>
      </c>
      <c r="R26" s="20" t="n">
        <v>0.91395634</v>
      </c>
    </row>
    <row r="27" spans="1:18">
      <c r="A27" s="15" t="s">
        <v>369</v>
      </c>
      <c r="B27" s="17" t="n">
        <v>2616</v>
      </c>
      <c r="C27" s="18">
        <f>(2292.0/B27*100)</f>
        <v/>
      </c>
      <c r="D27" s="19" t="n">
        <v>324</v>
      </c>
      <c r="E27" s="18" t="n">
        <v>25.01826264</v>
      </c>
      <c r="F27" s="20" t="n">
        <v>2.56719746</v>
      </c>
      <c r="G27" s="18" t="n">
        <v>65.37913708000001</v>
      </c>
      <c r="H27" s="20" t="n">
        <v>2.92234605</v>
      </c>
      <c r="I27" s="18" t="s">
        <v>349</v>
      </c>
      <c r="J27" s="20" t="s">
        <v>349</v>
      </c>
      <c r="K27" s="18" t="n">
        <v>0.61994956</v>
      </c>
      <c r="L27" s="20" t="n">
        <v>0.43408024</v>
      </c>
      <c r="M27" s="18" t="n">
        <v>0</v>
      </c>
      <c r="N27" s="20" t="n">
        <v>0</v>
      </c>
      <c r="O27" s="18" t="n">
        <v>0</v>
      </c>
      <c r="P27" s="20" t="n">
        <v>0</v>
      </c>
      <c r="Q27" s="18" t="n">
        <v>8.982650720000001</v>
      </c>
      <c r="R27" s="20" t="n">
        <v>1.57860336</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33.58744716</v>
      </c>
      <c r="F29" s="20" t="n">
        <v>2.7659127</v>
      </c>
      <c r="G29" s="18" t="n">
        <v>60.54372892</v>
      </c>
      <c r="H29" s="20" t="n">
        <v>2.69969262</v>
      </c>
      <c r="I29" s="18" t="s">
        <v>349</v>
      </c>
      <c r="J29" s="20" t="s">
        <v>349</v>
      </c>
      <c r="K29" s="18" t="n">
        <v>0.5842277299999999</v>
      </c>
      <c r="L29" s="20" t="n">
        <v>0.4258426</v>
      </c>
      <c r="M29" s="18" t="n">
        <v>0</v>
      </c>
      <c r="N29" s="20" t="n">
        <v>0</v>
      </c>
      <c r="O29" s="18" t="n">
        <v>0</v>
      </c>
      <c r="P29" s="20" t="n">
        <v>0</v>
      </c>
      <c r="Q29" s="18" t="n">
        <v>5.28459619</v>
      </c>
      <c r="R29" s="20" t="n">
        <v>1.42166127</v>
      </c>
    </row>
    <row r="30" spans="1:18">
      <c r="A30" s="15" t="s">
        <v>372</v>
      </c>
      <c r="B30" s="17" t="n">
        <v>2263</v>
      </c>
      <c r="C30" s="18">
        <f>(2009.0/B30*100)</f>
        <v/>
      </c>
      <c r="D30" s="19" t="n">
        <v>254</v>
      </c>
      <c r="E30" s="18" t="n">
        <v>30.74268695</v>
      </c>
      <c r="F30" s="20" t="n">
        <v>3.67156906</v>
      </c>
      <c r="G30" s="18" t="n">
        <v>63.49019898</v>
      </c>
      <c r="H30" s="20" t="n">
        <v>3.92949749</v>
      </c>
      <c r="I30" s="18" t="s">
        <v>349</v>
      </c>
      <c r="J30" s="20" t="s">
        <v>349</v>
      </c>
      <c r="K30" s="18" t="n">
        <v>1.00026305</v>
      </c>
      <c r="L30" s="20" t="n">
        <v>0.50530407</v>
      </c>
      <c r="M30" s="18" t="n">
        <v>0</v>
      </c>
      <c r="N30" s="20" t="n">
        <v>0</v>
      </c>
      <c r="O30" s="18" t="n">
        <v>0</v>
      </c>
      <c r="P30" s="20" t="n">
        <v>0</v>
      </c>
      <c r="Q30" s="18" t="n">
        <v>4.76685102</v>
      </c>
      <c r="R30" s="20" t="n">
        <v>1.34428309</v>
      </c>
    </row>
    <row r="31" spans="1:18">
      <c r="A31" s="15" t="s">
        <v>373</v>
      </c>
      <c r="B31" s="17" t="n">
        <v>2750</v>
      </c>
      <c r="C31" s="18">
        <f>(2394.0/B31*100)</f>
        <v/>
      </c>
      <c r="D31" s="19" t="n">
        <v>356</v>
      </c>
      <c r="E31" s="18" t="n">
        <v>35.27789633</v>
      </c>
      <c r="F31" s="20" t="n">
        <v>2.79129899</v>
      </c>
      <c r="G31" s="18" t="n">
        <v>56.04110426</v>
      </c>
      <c r="H31" s="20" t="n">
        <v>2.77857544</v>
      </c>
      <c r="I31" s="18" t="s">
        <v>349</v>
      </c>
      <c r="J31" s="20" t="s">
        <v>349</v>
      </c>
      <c r="K31" s="18" t="n">
        <v>1.64500004</v>
      </c>
      <c r="L31" s="20" t="n">
        <v>0.67761798</v>
      </c>
      <c r="M31" s="18" t="n">
        <v>0</v>
      </c>
      <c r="N31" s="20" t="n">
        <v>0</v>
      </c>
      <c r="O31" s="18" t="n">
        <v>0</v>
      </c>
      <c r="P31" s="20" t="n">
        <v>0</v>
      </c>
      <c r="Q31" s="18" t="n">
        <v>7.03599936</v>
      </c>
      <c r="R31" s="20" t="n">
        <v>1.34264167</v>
      </c>
    </row>
    <row r="32" spans="1:18">
      <c r="A32" s="15" t="s">
        <v>374</v>
      </c>
      <c r="B32" s="17" t="n">
        <v>2269</v>
      </c>
      <c r="C32" s="18">
        <f>(1892.0/B32*100)</f>
        <v/>
      </c>
      <c r="D32" s="19" t="n">
        <v>377</v>
      </c>
      <c r="E32" s="18" t="n">
        <v>22.98992952</v>
      </c>
      <c r="F32" s="20" t="n">
        <v>2.22735423</v>
      </c>
      <c r="G32" s="18" t="n">
        <v>70.89894782</v>
      </c>
      <c r="H32" s="20" t="n">
        <v>2.33072102</v>
      </c>
      <c r="I32" s="18" t="s">
        <v>349</v>
      </c>
      <c r="J32" s="20" t="s">
        <v>349</v>
      </c>
      <c r="K32" s="18" t="n">
        <v>0.75536218</v>
      </c>
      <c r="L32" s="20" t="n">
        <v>0.41368598</v>
      </c>
      <c r="M32" s="18" t="n">
        <v>0</v>
      </c>
      <c r="N32" s="20" t="n">
        <v>0</v>
      </c>
      <c r="O32" s="18" t="n">
        <v>0</v>
      </c>
      <c r="P32" s="20" t="n">
        <v>0</v>
      </c>
      <c r="Q32" s="18" t="n">
        <v>5.35576048</v>
      </c>
      <c r="R32" s="20" t="n">
        <v>1.19963021</v>
      </c>
    </row>
    <row r="33" spans="1:18">
      <c r="A33" s="15" t="s">
        <v>375</v>
      </c>
      <c r="B33" s="17" t="n">
        <v>3674</v>
      </c>
      <c r="C33" s="18">
        <f>(3238.0/B33*100)</f>
        <v/>
      </c>
      <c r="D33" s="19" t="n">
        <v>436</v>
      </c>
      <c r="E33" s="18" t="n">
        <v>27.48878777</v>
      </c>
      <c r="F33" s="20" t="n">
        <v>2.65012805</v>
      </c>
      <c r="G33" s="18" t="n">
        <v>64.20284525</v>
      </c>
      <c r="H33" s="20" t="n">
        <v>2.79925636</v>
      </c>
      <c r="I33" s="18" t="s">
        <v>349</v>
      </c>
      <c r="J33" s="20" t="s">
        <v>349</v>
      </c>
      <c r="K33" s="18" t="n">
        <v>1.07210168</v>
      </c>
      <c r="L33" s="20" t="n">
        <v>0.6102466600000001</v>
      </c>
      <c r="M33" s="18" t="n">
        <v>0</v>
      </c>
      <c r="N33" s="20" t="n">
        <v>0</v>
      </c>
      <c r="O33" s="18" t="n">
        <v>0</v>
      </c>
      <c r="P33" s="20" t="n">
        <v>0</v>
      </c>
      <c r="Q33" s="18" t="n">
        <v>7.2362653</v>
      </c>
      <c r="R33" s="20" t="n">
        <v>1.4393786</v>
      </c>
    </row>
    <row r="34" spans="1:18">
      <c r="A34" s="15" t="s">
        <v>376</v>
      </c>
      <c r="B34" s="17" t="n">
        <v>3315</v>
      </c>
      <c r="C34" s="18">
        <f>(2940.0/B34*100)</f>
        <v/>
      </c>
      <c r="D34" s="19" t="n">
        <v>375</v>
      </c>
      <c r="E34" s="18" t="n">
        <v>30.45190804</v>
      </c>
      <c r="F34" s="20" t="n">
        <v>2.68430111</v>
      </c>
      <c r="G34" s="18" t="n">
        <v>66.28523849</v>
      </c>
      <c r="H34" s="20" t="n">
        <v>2.81670311</v>
      </c>
      <c r="I34" s="18" t="s">
        <v>349</v>
      </c>
      <c r="J34" s="20" t="s">
        <v>349</v>
      </c>
      <c r="K34" s="18" t="n">
        <v>0.21438955</v>
      </c>
      <c r="L34" s="20" t="n">
        <v>0.21285548</v>
      </c>
      <c r="M34" s="18" t="n">
        <v>0</v>
      </c>
      <c r="N34" s="20" t="n">
        <v>0</v>
      </c>
      <c r="O34" s="18" t="n">
        <v>0</v>
      </c>
      <c r="P34" s="20" t="n">
        <v>0</v>
      </c>
      <c r="Q34" s="18" t="n">
        <v>3.04846392</v>
      </c>
      <c r="R34" s="20" t="n">
        <v>0.85419676</v>
      </c>
    </row>
    <row r="35" spans="1:18">
      <c r="A35" s="15" t="s">
        <v>377</v>
      </c>
      <c r="B35" s="17" t="n">
        <v>3505</v>
      </c>
      <c r="C35" s="18">
        <f>(3076.0/B35*100)</f>
        <v/>
      </c>
      <c r="D35" s="19" t="n">
        <v>429</v>
      </c>
      <c r="E35" s="18" t="n">
        <v>24.11813741</v>
      </c>
      <c r="F35" s="20" t="n">
        <v>2.22596495</v>
      </c>
      <c r="G35" s="18" t="n">
        <v>71.34800494</v>
      </c>
      <c r="H35" s="20" t="n">
        <v>2.34091572</v>
      </c>
      <c r="I35" s="18" t="s">
        <v>349</v>
      </c>
      <c r="J35" s="20" t="s">
        <v>349</v>
      </c>
      <c r="K35" s="18" t="n">
        <v>0.3153689</v>
      </c>
      <c r="L35" s="20" t="n">
        <v>0.18422528</v>
      </c>
      <c r="M35" s="18" t="n">
        <v>0</v>
      </c>
      <c r="N35" s="20" t="n">
        <v>0</v>
      </c>
      <c r="O35" s="18" t="n">
        <v>0</v>
      </c>
      <c r="P35" s="20" t="n">
        <v>0</v>
      </c>
      <c r="Q35" s="18" t="n">
        <v>4.21848874</v>
      </c>
      <c r="R35" s="20" t="n">
        <v>0.9956638799999999</v>
      </c>
    </row>
    <row r="36" spans="1:18">
      <c r="A36" s="15" t="s">
        <v>378</v>
      </c>
      <c r="B36" s="17" t="n">
        <v>3332</v>
      </c>
      <c r="C36" s="18">
        <f>(2928.0/B36*100)</f>
        <v/>
      </c>
      <c r="D36" s="19" t="n">
        <v>404</v>
      </c>
      <c r="E36" s="18" t="n">
        <v>26.22912863</v>
      </c>
      <c r="F36" s="20" t="n">
        <v>2.13071099</v>
      </c>
      <c r="G36" s="18" t="n">
        <v>68.06447591</v>
      </c>
      <c r="H36" s="20" t="n">
        <v>2.52197161</v>
      </c>
      <c r="I36" s="18" t="s">
        <v>349</v>
      </c>
      <c r="J36" s="20" t="s">
        <v>349</v>
      </c>
      <c r="K36" s="18" t="n">
        <v>0.63251386</v>
      </c>
      <c r="L36" s="20" t="n">
        <v>0.40390598</v>
      </c>
      <c r="M36" s="18" t="n">
        <v>0</v>
      </c>
      <c r="N36" s="20" t="n">
        <v>0</v>
      </c>
      <c r="O36" s="18" t="n">
        <v>0</v>
      </c>
      <c r="P36" s="20" t="n">
        <v>0</v>
      </c>
      <c r="Q36" s="18" t="n">
        <v>5.0738816</v>
      </c>
      <c r="R36" s="20" t="n">
        <v>1.16454186</v>
      </c>
    </row>
    <row r="37" spans="1:18">
      <c r="A37" s="15" t="s">
        <v>379</v>
      </c>
      <c r="B37" s="17" t="n">
        <v>2727</v>
      </c>
      <c r="C37" s="18">
        <f>(2402.0/B37*100)</f>
        <v/>
      </c>
      <c r="D37" s="19" t="n">
        <v>325</v>
      </c>
      <c r="E37" s="18" t="n">
        <v>36.1507233</v>
      </c>
      <c r="F37" s="20" t="n">
        <v>2.4701027</v>
      </c>
      <c r="G37" s="18" t="n">
        <v>50.83461356</v>
      </c>
      <c r="H37" s="20" t="n">
        <v>2.75925695</v>
      </c>
      <c r="I37" s="18" t="s">
        <v>349</v>
      </c>
      <c r="J37" s="20" t="s">
        <v>349</v>
      </c>
      <c r="K37" s="18" t="n">
        <v>3.46430043</v>
      </c>
      <c r="L37" s="20" t="n">
        <v>1.13495033</v>
      </c>
      <c r="M37" s="18" t="n">
        <v>0</v>
      </c>
      <c r="N37" s="20" t="n">
        <v>0</v>
      </c>
      <c r="O37" s="18" t="n">
        <v>0</v>
      </c>
      <c r="P37" s="20" t="n">
        <v>0</v>
      </c>
      <c r="Q37" s="18" t="n">
        <v>9.550362720000001</v>
      </c>
      <c r="R37" s="20" t="n">
        <v>1.65735796</v>
      </c>
    </row>
    <row r="38" spans="1:18">
      <c r="A38" s="15" t="s">
        <v>380</v>
      </c>
      <c r="B38" s="17" t="n">
        <v>3053</v>
      </c>
      <c r="C38" s="18">
        <f>(2551.0/B38*100)</f>
        <v/>
      </c>
      <c r="D38" s="19" t="n">
        <v>502</v>
      </c>
      <c r="E38" s="18" t="n">
        <v>27.67344674</v>
      </c>
      <c r="F38" s="20" t="n">
        <v>1.91989906</v>
      </c>
      <c r="G38" s="18" t="n">
        <v>65.17522271999999</v>
      </c>
      <c r="H38" s="20" t="n">
        <v>2.14657882</v>
      </c>
      <c r="I38" s="18" t="s">
        <v>349</v>
      </c>
      <c r="J38" s="20" t="s">
        <v>349</v>
      </c>
      <c r="K38" s="18" t="n">
        <v>1.1257121</v>
      </c>
      <c r="L38" s="20" t="n">
        <v>0.46780403</v>
      </c>
      <c r="M38" s="18" t="n">
        <v>0</v>
      </c>
      <c r="N38" s="20" t="n">
        <v>0</v>
      </c>
      <c r="O38" s="18" t="n">
        <v>0</v>
      </c>
      <c r="P38" s="20" t="n">
        <v>0</v>
      </c>
      <c r="Q38" s="18" t="n">
        <v>6.02561845</v>
      </c>
      <c r="R38" s="20" t="n">
        <v>1.0348037</v>
      </c>
    </row>
    <row r="39" spans="1:18">
      <c r="A39" s="15" t="s">
        <v>381</v>
      </c>
      <c r="B39" s="17" t="n">
        <v>2957</v>
      </c>
      <c r="C39" s="18">
        <f>(2581.0/B39*100)</f>
        <v/>
      </c>
      <c r="D39" s="19" t="n">
        <v>376</v>
      </c>
      <c r="E39" s="18" t="n">
        <v>56.15803719</v>
      </c>
      <c r="F39" s="20" t="n">
        <v>2.85726817</v>
      </c>
      <c r="G39" s="18" t="n">
        <v>39.0475554</v>
      </c>
      <c r="H39" s="20" t="n">
        <v>2.68746819</v>
      </c>
      <c r="I39" s="18" t="s">
        <v>349</v>
      </c>
      <c r="J39" s="20" t="s">
        <v>349</v>
      </c>
      <c r="K39" s="18" t="n">
        <v>0.76995324</v>
      </c>
      <c r="L39" s="20" t="n">
        <v>0.4705309</v>
      </c>
      <c r="M39" s="18" t="n">
        <v>0</v>
      </c>
      <c r="N39" s="20" t="n">
        <v>0</v>
      </c>
      <c r="O39" s="18" t="n">
        <v>0</v>
      </c>
      <c r="P39" s="20" t="n">
        <v>0</v>
      </c>
      <c r="Q39" s="18" t="n">
        <v>4.02445417</v>
      </c>
      <c r="R39" s="20" t="n">
        <v>1.0644043</v>
      </c>
    </row>
    <row r="40" spans="1:18">
      <c r="A40" s="15" t="s">
        <v>382</v>
      </c>
      <c r="B40" s="17" t="n">
        <v>7235</v>
      </c>
      <c r="C40" s="18">
        <f>(6369.0/B40*100)</f>
        <v/>
      </c>
      <c r="D40" s="19" t="n">
        <v>866</v>
      </c>
      <c r="E40" s="18" t="n">
        <v>27.35704281</v>
      </c>
      <c r="F40" s="20" t="n">
        <v>2.42513892</v>
      </c>
      <c r="G40" s="18" t="n">
        <v>66.73534963</v>
      </c>
      <c r="H40" s="20" t="n">
        <v>2.50736247</v>
      </c>
      <c r="I40" s="18" t="s">
        <v>349</v>
      </c>
      <c r="J40" s="20" t="s">
        <v>349</v>
      </c>
      <c r="K40" s="18" t="n">
        <v>0.45612695</v>
      </c>
      <c r="L40" s="20" t="n">
        <v>0.28115191</v>
      </c>
      <c r="M40" s="18" t="n">
        <v>0</v>
      </c>
      <c r="N40" s="20" t="n">
        <v>0</v>
      </c>
      <c r="O40" s="18" t="n">
        <v>0</v>
      </c>
      <c r="P40" s="20" t="n">
        <v>0</v>
      </c>
      <c r="Q40" s="18" t="n">
        <v>5.45148061</v>
      </c>
      <c r="R40" s="20" t="n">
        <v>1.26213575</v>
      </c>
    </row>
    <row r="41" spans="1:18">
      <c r="A41" s="15" t="s">
        <v>383</v>
      </c>
      <c r="B41" s="17" t="n">
        <v>2858</v>
      </c>
      <c r="C41" s="18">
        <f>(2534.0/B41*100)</f>
        <v/>
      </c>
      <c r="D41" s="19" t="n">
        <v>324</v>
      </c>
      <c r="E41" s="18" t="n">
        <v>27.81638715</v>
      </c>
      <c r="F41" s="20" t="n">
        <v>2.43176749</v>
      </c>
      <c r="G41" s="18" t="n">
        <v>70.4002833</v>
      </c>
      <c r="H41" s="20" t="n">
        <v>2.42130779</v>
      </c>
      <c r="I41" s="18" t="s">
        <v>349</v>
      </c>
      <c r="J41" s="20" t="s">
        <v>349</v>
      </c>
      <c r="K41" s="18" t="n">
        <v>0</v>
      </c>
      <c r="L41" s="20" t="n">
        <v>0</v>
      </c>
      <c r="M41" s="18" t="n">
        <v>0</v>
      </c>
      <c r="N41" s="20" t="n">
        <v>0</v>
      </c>
      <c r="O41" s="18" t="n">
        <v>0</v>
      </c>
      <c r="P41" s="20" t="n">
        <v>0</v>
      </c>
      <c r="Q41" s="18" t="n">
        <v>1.78332955</v>
      </c>
      <c r="R41" s="20" t="n">
        <v>0.79654096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(4508.0/B48*100)</f>
        <v/>
      </c>
      <c r="D48" s="19" t="n">
        <v>651</v>
      </c>
      <c r="E48" s="18" t="n">
        <v>25.65542163</v>
      </c>
      <c r="F48" s="20" t="n">
        <v>2.18773303</v>
      </c>
      <c r="G48" s="18" t="n">
        <v>72.84228243</v>
      </c>
      <c r="H48" s="20" t="n">
        <v>2.38514939</v>
      </c>
      <c r="I48" s="18" t="s">
        <v>349</v>
      </c>
      <c r="J48" s="20" t="s">
        <v>349</v>
      </c>
      <c r="K48" s="18" t="n">
        <v>0.21883284</v>
      </c>
      <c r="L48" s="20" t="n">
        <v>0.20726788</v>
      </c>
      <c r="M48" s="18" t="n">
        <v>0</v>
      </c>
      <c r="N48" s="20" t="n">
        <v>0</v>
      </c>
      <c r="O48" s="18" t="n">
        <v>0</v>
      </c>
      <c r="P48" s="20" t="n">
        <v>0</v>
      </c>
      <c r="Q48" s="18" t="n">
        <v>1.2834631</v>
      </c>
      <c r="R48" s="20" t="n">
        <v>0.57052346</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(2465.0/B52*100)</f>
        <v/>
      </c>
      <c r="D52" s="19" t="n">
        <v>331</v>
      </c>
      <c r="E52" s="18" t="n">
        <v>26.39484362</v>
      </c>
      <c r="F52" s="20" t="n">
        <v>2.73494738</v>
      </c>
      <c r="G52" s="18" t="n">
        <v>64.94695339</v>
      </c>
      <c r="H52" s="20" t="n">
        <v>2.88158509</v>
      </c>
      <c r="I52" s="18" t="s">
        <v>349</v>
      </c>
      <c r="J52" s="20" t="s">
        <v>349</v>
      </c>
      <c r="K52" s="18" t="n">
        <v>1.27770604</v>
      </c>
      <c r="L52" s="20" t="n">
        <v>0.64222175</v>
      </c>
      <c r="M52" s="18" t="n">
        <v>0</v>
      </c>
      <c r="N52" s="20" t="n">
        <v>0</v>
      </c>
      <c r="O52" s="18" t="n">
        <v>0</v>
      </c>
      <c r="P52" s="20" t="n">
        <v>0</v>
      </c>
      <c r="Q52" s="18" t="n">
        <v>7.38049695</v>
      </c>
      <c r="R52" s="20" t="n">
        <v>1.75632194</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19.24942351</v>
      </c>
      <c r="F56" s="20" t="n">
        <v>2.40284529</v>
      </c>
      <c r="G56" s="18" t="n">
        <v>78.64424604</v>
      </c>
      <c r="H56" s="20" t="n">
        <v>2.42911822</v>
      </c>
      <c r="I56" s="18" t="s">
        <v>349</v>
      </c>
      <c r="J56" s="20" t="s">
        <v>349</v>
      </c>
      <c r="K56" s="18" t="n">
        <v>0.53494455</v>
      </c>
      <c r="L56" s="20" t="n">
        <v>0.58629277</v>
      </c>
      <c r="M56" s="18" t="n">
        <v>0</v>
      </c>
      <c r="N56" s="20" t="n">
        <v>0</v>
      </c>
      <c r="O56" s="18" t="n">
        <v>0</v>
      </c>
      <c r="P56" s="20" t="n">
        <v>0</v>
      </c>
      <c r="Q56" s="18" t="n">
        <v>1.57138591</v>
      </c>
      <c r="R56" s="20" t="n">
        <v>0.83105786</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(2889.0/B61*100)</f>
        <v/>
      </c>
      <c r="D61" s="19" t="n">
        <v>435</v>
      </c>
      <c r="E61" s="18" t="n">
        <v>35.01054926</v>
      </c>
      <c r="F61" s="20" t="n">
        <v>2.40951841</v>
      </c>
      <c r="G61" s="18" t="n">
        <v>59.103081</v>
      </c>
      <c r="H61" s="20" t="n">
        <v>2.45917398</v>
      </c>
      <c r="I61" s="18" t="s">
        <v>349</v>
      </c>
      <c r="J61" s="20" t="s">
        <v>349</v>
      </c>
      <c r="K61" s="18" t="n">
        <v>0.34093914</v>
      </c>
      <c r="L61" s="20" t="n">
        <v>0.3580323</v>
      </c>
      <c r="M61" s="18" t="n">
        <v>0</v>
      </c>
      <c r="N61" s="20" t="n">
        <v>0</v>
      </c>
      <c r="O61" s="18" t="n">
        <v>0</v>
      </c>
      <c r="P61" s="20" t="n">
        <v>0</v>
      </c>
      <c r="Q61" s="18" t="n">
        <v>5.54543061</v>
      </c>
      <c r="R61" s="20" t="n">
        <v>1.30076895</v>
      </c>
    </row>
    <row r="62" spans="1:18">
      <c r="A62" s="15" t="s">
        <v>404</v>
      </c>
      <c r="B62" s="17" t="n">
        <v>2246</v>
      </c>
      <c r="C62" s="18">
        <f>(1969.0/B62*100)</f>
        <v/>
      </c>
      <c r="D62" s="19" t="n">
        <v>277</v>
      </c>
      <c r="E62" s="18" t="n">
        <v>18.47306827</v>
      </c>
      <c r="F62" s="20" t="n">
        <v>2.20797999</v>
      </c>
      <c r="G62" s="18" t="n">
        <v>80.06831991</v>
      </c>
      <c r="H62" s="20" t="n">
        <v>2.32106541</v>
      </c>
      <c r="I62" s="18" t="s">
        <v>349</v>
      </c>
      <c r="J62" s="20" t="s">
        <v>349</v>
      </c>
      <c r="K62" s="18" t="n">
        <v>0</v>
      </c>
      <c r="L62" s="20" t="n">
        <v>0</v>
      </c>
      <c r="M62" s="18" t="n">
        <v>0</v>
      </c>
      <c r="N62" s="20" t="n">
        <v>0</v>
      </c>
      <c r="O62" s="18" t="n">
        <v>0</v>
      </c>
      <c r="P62" s="20" t="n">
        <v>0</v>
      </c>
      <c r="Q62" s="18" t="n">
        <v>1.45861181</v>
      </c>
      <c r="R62" s="20" t="n">
        <v>0.72236673</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(2527.0/B66*100)</f>
        <v/>
      </c>
      <c r="D66" s="19" t="n">
        <v>367</v>
      </c>
      <c r="E66" s="18" t="n">
        <v>33.12479286</v>
      </c>
      <c r="F66" s="20" t="n">
        <v>2.37130061</v>
      </c>
      <c r="G66" s="18" t="n">
        <v>52.84832412</v>
      </c>
      <c r="H66" s="20" t="n">
        <v>2.47865932</v>
      </c>
      <c r="I66" s="18" t="s">
        <v>349</v>
      </c>
      <c r="J66" s="20" t="s">
        <v>349</v>
      </c>
      <c r="K66" s="18" t="n">
        <v>1.2733677</v>
      </c>
      <c r="L66" s="20" t="n">
        <v>0.57721804</v>
      </c>
      <c r="M66" s="18" t="n">
        <v>0</v>
      </c>
      <c r="N66" s="20" t="n">
        <v>0</v>
      </c>
      <c r="O66" s="18" t="n">
        <v>0</v>
      </c>
      <c r="P66" s="20" t="n">
        <v>0</v>
      </c>
      <c r="Q66" s="18" t="n">
        <v>12.75351532</v>
      </c>
      <c r="R66" s="20" t="n">
        <v>1.92745967</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(5022.0/B68*100)</f>
        <v/>
      </c>
      <c r="D68" s="19" t="n">
        <v>1027</v>
      </c>
      <c r="E68" s="18" t="n">
        <v>52.9736413</v>
      </c>
      <c r="F68" s="20" t="n">
        <v>1.55546362</v>
      </c>
      <c r="G68" s="18" t="n">
        <v>36.6200998</v>
      </c>
      <c r="H68" s="20" t="n">
        <v>1.68021523</v>
      </c>
      <c r="I68" s="18" t="s">
        <v>349</v>
      </c>
      <c r="J68" s="20" t="s">
        <v>349</v>
      </c>
      <c r="K68" s="18" t="n">
        <v>2.96297347</v>
      </c>
      <c r="L68" s="20" t="n">
        <v>0.46278576</v>
      </c>
      <c r="M68" s="18" t="n">
        <v>0</v>
      </c>
      <c r="N68" s="20" t="n">
        <v>0</v>
      </c>
      <c r="O68" s="18" t="n">
        <v>0</v>
      </c>
      <c r="P68" s="20" t="n">
        <v>0</v>
      </c>
      <c r="Q68" s="18" t="n">
        <v>7.44328542</v>
      </c>
      <c r="R68" s="20" t="n">
        <v>0.76072393</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(2562.0/B70*100)</f>
        <v/>
      </c>
      <c r="D70" s="19" t="n">
        <v>367</v>
      </c>
      <c r="E70" s="18" t="n">
        <v>20.08341008</v>
      </c>
      <c r="F70" s="20" t="n">
        <v>2.51297799</v>
      </c>
      <c r="G70" s="18" t="n">
        <v>76.18125397</v>
      </c>
      <c r="H70" s="20" t="n">
        <v>2.46897758</v>
      </c>
      <c r="I70" s="18" t="s">
        <v>349</v>
      </c>
      <c r="J70" s="20" t="s">
        <v>349</v>
      </c>
      <c r="K70" s="18" t="n">
        <v>0.14249185</v>
      </c>
      <c r="L70" s="20" t="n">
        <v>0.10165977</v>
      </c>
      <c r="M70" s="18" t="n">
        <v>0</v>
      </c>
      <c r="N70" s="20" t="n">
        <v>0</v>
      </c>
      <c r="O70" s="18" t="n">
        <v>0</v>
      </c>
      <c r="P70" s="20" t="n">
        <v>0</v>
      </c>
      <c r="Q70" s="18" t="n">
        <v>3.59284409</v>
      </c>
      <c r="R70" s="20" t="n">
        <v>0.9016424</v>
      </c>
    </row>
    <row r="71" spans="1:18">
      <c r="A71" s="15" t="s">
        <v>413</v>
      </c>
      <c r="B71" s="17" t="n">
        <v>3142</v>
      </c>
      <c r="C71" s="18">
        <f>(2753.0/B71*100)</f>
        <v/>
      </c>
      <c r="D71" s="19" t="n">
        <v>389</v>
      </c>
      <c r="E71" s="18" t="n">
        <v>12.63922997</v>
      </c>
      <c r="F71" s="20" t="n">
        <v>1.45093894</v>
      </c>
      <c r="G71" s="18" t="n">
        <v>85.50257755</v>
      </c>
      <c r="H71" s="20" t="n">
        <v>1.58981879</v>
      </c>
      <c r="I71" s="18" t="s">
        <v>349</v>
      </c>
      <c r="J71" s="20" t="s">
        <v>349</v>
      </c>
      <c r="K71" s="18" t="n">
        <v>0.39657845</v>
      </c>
      <c r="L71" s="20" t="n">
        <v>0.2866553</v>
      </c>
      <c r="M71" s="18" t="n">
        <v>0</v>
      </c>
      <c r="N71" s="20" t="n">
        <v>0</v>
      </c>
      <c r="O71" s="18" t="n">
        <v>0</v>
      </c>
      <c r="P71" s="20" t="n">
        <v>0</v>
      </c>
      <c r="Q71" s="18" t="n">
        <v>1.46161404</v>
      </c>
      <c r="R71" s="20" t="n">
        <v>0.56624202</v>
      </c>
    </row>
    <row r="72" spans="1:18">
      <c r="A72" s="15" t="s">
        <v>414</v>
      </c>
      <c r="B72" s="17" t="n">
        <v>3889</v>
      </c>
      <c r="C72" s="18">
        <f>(3415.0/B72*100)</f>
        <v/>
      </c>
      <c r="D72" s="19" t="n">
        <v>474</v>
      </c>
      <c r="E72" s="18" t="n">
        <v>19.76525733</v>
      </c>
      <c r="F72" s="20" t="n">
        <v>1.79644829</v>
      </c>
      <c r="G72" s="18" t="n">
        <v>77.95716342999999</v>
      </c>
      <c r="H72" s="20" t="n">
        <v>2.00427555</v>
      </c>
      <c r="I72" s="18" t="s">
        <v>349</v>
      </c>
      <c r="J72" s="20" t="s">
        <v>349</v>
      </c>
      <c r="K72" s="18" t="n">
        <v>0.49840339</v>
      </c>
      <c r="L72" s="20" t="n">
        <v>0.32519364</v>
      </c>
      <c r="M72" s="18" t="n">
        <v>0</v>
      </c>
      <c r="N72" s="20" t="n">
        <v>0</v>
      </c>
      <c r="O72" s="18" t="n">
        <v>0</v>
      </c>
      <c r="P72" s="20" t="n">
        <v>0</v>
      </c>
      <c r="Q72" s="18" t="n">
        <v>1.77917584</v>
      </c>
      <c r="R72" s="20" t="n">
        <v>0.5593333</v>
      </c>
    </row>
    <row r="73" spans="1:18">
      <c r="A73" s="15" t="s">
        <v>415</v>
      </c>
      <c r="B73" s="17" t="n">
        <v>3597</v>
      </c>
      <c r="C73" s="18">
        <f>(3133.0/B73*100)</f>
        <v/>
      </c>
      <c r="D73" s="19" t="n">
        <v>464</v>
      </c>
      <c r="E73" s="18" t="n">
        <v>67.16345588</v>
      </c>
      <c r="F73" s="20" t="n">
        <v>2.71365457</v>
      </c>
      <c r="G73" s="18" t="n">
        <v>31.14761372</v>
      </c>
      <c r="H73" s="20" t="n">
        <v>2.7854811</v>
      </c>
      <c r="I73" s="18" t="s">
        <v>349</v>
      </c>
      <c r="J73" s="20" t="s">
        <v>349</v>
      </c>
      <c r="K73" s="18" t="n">
        <v>0</v>
      </c>
      <c r="L73" s="20" t="n">
        <v>0</v>
      </c>
      <c r="M73" s="18" t="n">
        <v>0</v>
      </c>
      <c r="N73" s="20" t="n">
        <v>0</v>
      </c>
      <c r="O73" s="18" t="n">
        <v>0</v>
      </c>
      <c r="P73" s="20" t="n">
        <v>0</v>
      </c>
      <c r="Q73" s="18" t="n">
        <v>1.68893039</v>
      </c>
      <c r="R73" s="20" t="n">
        <v>0.99753774</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(3647.0/B81*100)</f>
        <v/>
      </c>
      <c r="D81" s="19" t="n">
        <v>516</v>
      </c>
      <c r="E81" s="18" t="n">
        <v>58.32775744</v>
      </c>
      <c r="F81" s="20" t="n">
        <v>3.14085646</v>
      </c>
      <c r="G81" s="18" t="n">
        <v>39.82489654</v>
      </c>
      <c r="H81" s="20" t="n">
        <v>3.34874397</v>
      </c>
      <c r="I81" s="18" t="s">
        <v>349</v>
      </c>
      <c r="J81" s="20" t="s">
        <v>349</v>
      </c>
      <c r="K81" s="18" t="n">
        <v>0.01980782</v>
      </c>
      <c r="L81" s="20" t="n">
        <v>0.67176793</v>
      </c>
      <c r="M81" s="18" t="n">
        <v>0</v>
      </c>
      <c r="N81" s="20" t="n">
        <v>0</v>
      </c>
      <c r="O81" s="18" t="n">
        <v>0</v>
      </c>
      <c r="P81" s="20" t="n">
        <v>0</v>
      </c>
      <c r="Q81" s="18" t="n">
        <v>1.8275382</v>
      </c>
      <c r="R81" s="20" t="n">
        <v>0.7978916700000001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(6483.0/B7*100)</f>
        <v/>
      </c>
      <c r="D7" s="19" t="n">
        <v>884</v>
      </c>
      <c r="E7" s="18" t="n">
        <v>51.6940747</v>
      </c>
      <c r="F7" s="20" t="n">
        <v>2.01193644</v>
      </c>
      <c r="G7" s="18" t="n">
        <v>32.46682869</v>
      </c>
      <c r="H7" s="20" t="n">
        <v>1.95951925</v>
      </c>
      <c r="I7" s="18" t="s">
        <v>349</v>
      </c>
      <c r="J7" s="20" t="s">
        <v>349</v>
      </c>
      <c r="K7" s="18" t="n">
        <v>1.17676879</v>
      </c>
      <c r="L7" s="20" t="n">
        <v>0.42867123</v>
      </c>
      <c r="M7" s="18" t="n">
        <v>0.26128643</v>
      </c>
      <c r="N7" s="20" t="n">
        <v>0.21395262</v>
      </c>
      <c r="O7" s="18" t="n">
        <v>0</v>
      </c>
      <c r="P7" s="20" t="n">
        <v>0</v>
      </c>
      <c r="Q7" s="18" t="n">
        <v>14.40104139</v>
      </c>
      <c r="R7" s="20" t="n">
        <v>1.41961033</v>
      </c>
    </row>
    <row r="8" spans="1:18">
      <c r="A8" s="15" t="s">
        <v>350</v>
      </c>
      <c r="B8" s="17" t="n">
        <v>3564</v>
      </c>
      <c r="C8" s="18">
        <f>(3159.0/B8*100)</f>
        <v/>
      </c>
      <c r="D8" s="19" t="n">
        <v>405</v>
      </c>
      <c r="E8" s="18" t="n">
        <v>47.11774388</v>
      </c>
      <c r="F8" s="20" t="n">
        <v>2.86852774</v>
      </c>
      <c r="G8" s="18" t="n">
        <v>35.18611409</v>
      </c>
      <c r="H8" s="20" t="n">
        <v>2.75516292</v>
      </c>
      <c r="I8" s="18" t="s">
        <v>349</v>
      </c>
      <c r="J8" s="20" t="s">
        <v>349</v>
      </c>
      <c r="K8" s="18" t="n">
        <v>1.3253985</v>
      </c>
      <c r="L8" s="20" t="n">
        <v>0.60716128</v>
      </c>
      <c r="M8" s="18" t="n">
        <v>0</v>
      </c>
      <c r="N8" s="20" t="n">
        <v>0</v>
      </c>
      <c r="O8" s="18" t="n">
        <v>0</v>
      </c>
      <c r="P8" s="20" t="n">
        <v>0</v>
      </c>
      <c r="Q8" s="18" t="n">
        <v>16.37074352</v>
      </c>
      <c r="R8" s="20" t="n">
        <v>2.3697277</v>
      </c>
    </row>
    <row r="9" spans="1:18">
      <c r="A9" s="15" t="s">
        <v>351</v>
      </c>
      <c r="B9" s="17" t="n">
        <v>4899</v>
      </c>
      <c r="C9" s="18">
        <f>(4312.0/B9*100)</f>
        <v/>
      </c>
      <c r="D9" s="19" t="n">
        <v>587</v>
      </c>
      <c r="E9" s="18" t="n">
        <v>38.8479725</v>
      </c>
      <c r="F9" s="20" t="n">
        <v>2.3907286</v>
      </c>
      <c r="G9" s="18" t="n">
        <v>40.98018445</v>
      </c>
      <c r="H9" s="20" t="n">
        <v>2.13610303</v>
      </c>
      <c r="I9" s="18" t="s">
        <v>349</v>
      </c>
      <c r="J9" s="20" t="s">
        <v>349</v>
      </c>
      <c r="K9" s="18" t="n">
        <v>1.50454782</v>
      </c>
      <c r="L9" s="20" t="n">
        <v>0.55014027</v>
      </c>
      <c r="M9" s="18" t="n">
        <v>0.66636792</v>
      </c>
      <c r="N9" s="20" t="n">
        <v>0.39356444</v>
      </c>
      <c r="O9" s="18" t="n">
        <v>0</v>
      </c>
      <c r="P9" s="20" t="n">
        <v>0</v>
      </c>
      <c r="Q9" s="18" t="n">
        <v>18.00092731</v>
      </c>
      <c r="R9" s="20" t="n">
        <v>1.54928313</v>
      </c>
    </row>
    <row r="10" spans="1:18">
      <c r="A10" s="15" t="s">
        <v>352</v>
      </c>
      <c r="B10" s="17" t="n">
        <v>10036</v>
      </c>
      <c r="C10" s="18">
        <f>(8810.0/B10*100)</f>
        <v/>
      </c>
      <c r="D10" s="19" t="n">
        <v>1226</v>
      </c>
      <c r="E10" s="18" t="n">
        <v>51.07756274</v>
      </c>
      <c r="F10" s="20" t="n">
        <v>2.04289697</v>
      </c>
      <c r="G10" s="18" t="n">
        <v>41.76018959</v>
      </c>
      <c r="H10" s="20" t="n">
        <v>2.05668395</v>
      </c>
      <c r="I10" s="18" t="s">
        <v>349</v>
      </c>
      <c r="J10" s="20" t="s">
        <v>349</v>
      </c>
      <c r="K10" s="18" t="n">
        <v>0.78386618</v>
      </c>
      <c r="L10" s="20" t="n">
        <v>0.33858801</v>
      </c>
      <c r="M10" s="18" t="n">
        <v>0.2134226</v>
      </c>
      <c r="N10" s="20" t="n">
        <v>0.12428401</v>
      </c>
      <c r="O10" s="18" t="n">
        <v>0</v>
      </c>
      <c r="P10" s="20" t="n">
        <v>0</v>
      </c>
      <c r="Q10" s="18" t="n">
        <v>6.1649589</v>
      </c>
      <c r="R10" s="20" t="n">
        <v>0.86734628</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(3063.0/B12*100)</f>
        <v/>
      </c>
      <c r="D12" s="19" t="n">
        <v>409</v>
      </c>
      <c r="E12" s="18" t="n">
        <v>46.41542101</v>
      </c>
      <c r="F12" s="20" t="n">
        <v>2.99777026</v>
      </c>
      <c r="G12" s="18" t="n">
        <v>21.49228762</v>
      </c>
      <c r="H12" s="20" t="n">
        <v>2.0748044</v>
      </c>
      <c r="I12" s="18" t="s">
        <v>349</v>
      </c>
      <c r="J12" s="20" t="s">
        <v>349</v>
      </c>
      <c r="K12" s="18" t="n">
        <v>0.438703</v>
      </c>
      <c r="L12" s="20" t="n">
        <v>0.31753428</v>
      </c>
      <c r="M12" s="18" t="n">
        <v>0.47696853</v>
      </c>
      <c r="N12" s="20" t="n">
        <v>0.46742784</v>
      </c>
      <c r="O12" s="18" t="n">
        <v>0</v>
      </c>
      <c r="P12" s="20" t="n">
        <v>0</v>
      </c>
      <c r="Q12" s="18" t="n">
        <v>31.17661984</v>
      </c>
      <c r="R12" s="20" t="n">
        <v>2.81908541</v>
      </c>
    </row>
    <row r="13" spans="1:18">
      <c r="A13" s="15" t="s">
        <v>355</v>
      </c>
      <c r="B13" s="17" t="n">
        <v>3559</v>
      </c>
      <c r="C13" s="18">
        <f>(3139.0/B13*100)</f>
        <v/>
      </c>
      <c r="D13" s="19" t="n">
        <v>420</v>
      </c>
      <c r="E13" s="18" t="n">
        <v>50.52529641</v>
      </c>
      <c r="F13" s="20" t="n">
        <v>2.96486152</v>
      </c>
      <c r="G13" s="18" t="n">
        <v>38.92295524</v>
      </c>
      <c r="H13" s="20" t="n">
        <v>3.10407771</v>
      </c>
      <c r="I13" s="18" t="s">
        <v>349</v>
      </c>
      <c r="J13" s="20" t="s">
        <v>349</v>
      </c>
      <c r="K13" s="18" t="n">
        <v>0.12130681</v>
      </c>
      <c r="L13" s="20" t="n">
        <v>0.12279195</v>
      </c>
      <c r="M13" s="18" t="n">
        <v>0.32576985</v>
      </c>
      <c r="N13" s="20" t="n">
        <v>0.3164228</v>
      </c>
      <c r="O13" s="18" t="n">
        <v>0</v>
      </c>
      <c r="P13" s="20" t="n">
        <v>0</v>
      </c>
      <c r="Q13" s="18" t="n">
        <v>10.10467169</v>
      </c>
      <c r="R13" s="20" t="n">
        <v>1.7457947</v>
      </c>
    </row>
    <row r="14" spans="1:18">
      <c r="A14" s="15" t="s">
        <v>356</v>
      </c>
      <c r="B14" s="17" t="n">
        <v>2799</v>
      </c>
      <c r="C14" s="18">
        <f>(2421.0/B14*100)</f>
        <v/>
      </c>
      <c r="D14" s="19" t="n">
        <v>378</v>
      </c>
      <c r="E14" s="18" t="n">
        <v>54.21049681</v>
      </c>
      <c r="F14" s="20" t="n">
        <v>3.17027556</v>
      </c>
      <c r="G14" s="18" t="n">
        <v>35.74813651</v>
      </c>
      <c r="H14" s="20" t="n">
        <v>2.73115106</v>
      </c>
      <c r="I14" s="18" t="s">
        <v>349</v>
      </c>
      <c r="J14" s="20" t="s">
        <v>349</v>
      </c>
      <c r="K14" s="18" t="n">
        <v>0.405451</v>
      </c>
      <c r="L14" s="20" t="n">
        <v>0.2863735</v>
      </c>
      <c r="M14" s="18" t="n">
        <v>0</v>
      </c>
      <c r="N14" s="20" t="n">
        <v>0</v>
      </c>
      <c r="O14" s="18" t="n">
        <v>0</v>
      </c>
      <c r="P14" s="20" t="n">
        <v>0</v>
      </c>
      <c r="Q14" s="18" t="n">
        <v>9.635915669999999</v>
      </c>
      <c r="R14" s="20" t="n">
        <v>1.67408604</v>
      </c>
    </row>
    <row r="15" spans="1:18">
      <c r="A15" s="15" t="s">
        <v>357</v>
      </c>
      <c r="B15" s="17" t="n">
        <v>3019</v>
      </c>
      <c r="C15" s="18">
        <f>(2643.0/B15*100)</f>
        <v/>
      </c>
      <c r="D15" s="19" t="n">
        <v>376</v>
      </c>
      <c r="E15" s="18" t="n">
        <v>50.14492721</v>
      </c>
      <c r="F15" s="20" t="n">
        <v>2.98269911</v>
      </c>
      <c r="G15" s="18" t="n">
        <v>31.32581095</v>
      </c>
      <c r="H15" s="20" t="n">
        <v>2.6917346</v>
      </c>
      <c r="I15" s="18" t="s">
        <v>349</v>
      </c>
      <c r="J15" s="20" t="s">
        <v>349</v>
      </c>
      <c r="K15" s="18" t="n">
        <v>0.48177675</v>
      </c>
      <c r="L15" s="20" t="n">
        <v>0.34192197</v>
      </c>
      <c r="M15" s="18" t="n">
        <v>0</v>
      </c>
      <c r="N15" s="20" t="n">
        <v>0</v>
      </c>
      <c r="O15" s="18" t="n">
        <v>0</v>
      </c>
      <c r="P15" s="20" t="n">
        <v>0</v>
      </c>
      <c r="Q15" s="18" t="n">
        <v>18.0474851</v>
      </c>
      <c r="R15" s="20" t="n">
        <v>2.3146705</v>
      </c>
    </row>
    <row r="16" spans="1:18">
      <c r="A16" s="15" t="s">
        <v>358</v>
      </c>
      <c r="B16" s="17" t="n">
        <v>2997</v>
      </c>
      <c r="C16" s="18">
        <f>(2611.0/B16*100)</f>
        <v/>
      </c>
      <c r="D16" s="19" t="n">
        <v>386</v>
      </c>
      <c r="E16" s="18" t="n">
        <v>36.57328565</v>
      </c>
      <c r="F16" s="20" t="n">
        <v>2.26700412</v>
      </c>
      <c r="G16" s="18" t="n">
        <v>39.28439706</v>
      </c>
      <c r="H16" s="20" t="n">
        <v>2.3831017</v>
      </c>
      <c r="I16" s="18" t="s">
        <v>349</v>
      </c>
      <c r="J16" s="20" t="s">
        <v>349</v>
      </c>
      <c r="K16" s="18" t="n">
        <v>2.2891959</v>
      </c>
      <c r="L16" s="20" t="n">
        <v>0.82787823</v>
      </c>
      <c r="M16" s="18" t="n">
        <v>0</v>
      </c>
      <c r="N16" s="20" t="n">
        <v>0</v>
      </c>
      <c r="O16" s="18" t="n">
        <v>0</v>
      </c>
      <c r="P16" s="20" t="n">
        <v>0</v>
      </c>
      <c r="Q16" s="18" t="n">
        <v>21.85312139</v>
      </c>
      <c r="R16" s="20" t="n">
        <v>1.86935701</v>
      </c>
    </row>
    <row r="17" spans="1:18">
      <c r="A17" s="15" t="s">
        <v>359</v>
      </c>
      <c r="B17" s="17" t="n">
        <v>3307</v>
      </c>
      <c r="C17" s="18">
        <f>(2914.0/B17*100)</f>
        <v/>
      </c>
      <c r="D17" s="19" t="n">
        <v>393</v>
      </c>
      <c r="E17" s="18" t="n">
        <v>40.70491841</v>
      </c>
      <c r="F17" s="20" t="n">
        <v>2.404232</v>
      </c>
      <c r="G17" s="18" t="n">
        <v>43.18234176</v>
      </c>
      <c r="H17" s="20" t="n">
        <v>2.43725467</v>
      </c>
      <c r="I17" s="18" t="s">
        <v>349</v>
      </c>
      <c r="J17" s="20" t="s">
        <v>349</v>
      </c>
      <c r="K17" s="18" t="n">
        <v>0.74710192</v>
      </c>
      <c r="L17" s="20" t="n">
        <v>0.38435376</v>
      </c>
      <c r="M17" s="18" t="n">
        <v>0</v>
      </c>
      <c r="N17" s="20" t="n">
        <v>0</v>
      </c>
      <c r="O17" s="18" t="n">
        <v>0</v>
      </c>
      <c r="P17" s="20" t="n">
        <v>0</v>
      </c>
      <c r="Q17" s="18" t="n">
        <v>15.36563791</v>
      </c>
      <c r="R17" s="20" t="n">
        <v>2.02877133</v>
      </c>
    </row>
    <row r="18" spans="1:18">
      <c r="A18" s="15" t="s">
        <v>360</v>
      </c>
      <c r="B18" s="17" t="n">
        <v>2826</v>
      </c>
      <c r="C18" s="18">
        <f>(2453.0/B18*100)</f>
        <v/>
      </c>
      <c r="D18" s="19" t="n">
        <v>373</v>
      </c>
      <c r="E18" s="18" t="n">
        <v>49.94518199</v>
      </c>
      <c r="F18" s="20" t="n">
        <v>3.65024264</v>
      </c>
      <c r="G18" s="18" t="n">
        <v>22.12219131</v>
      </c>
      <c r="H18" s="20" t="n">
        <v>2.76175517</v>
      </c>
      <c r="I18" s="18" t="s">
        <v>349</v>
      </c>
      <c r="J18" s="20" t="s">
        <v>349</v>
      </c>
      <c r="K18" s="18" t="n">
        <v>1.37033636</v>
      </c>
      <c r="L18" s="20" t="n">
        <v>0.68567407</v>
      </c>
      <c r="M18" s="18" t="n">
        <v>0</v>
      </c>
      <c r="N18" s="20" t="n">
        <v>0</v>
      </c>
      <c r="O18" s="18" t="n">
        <v>0</v>
      </c>
      <c r="P18" s="20" t="n">
        <v>0</v>
      </c>
      <c r="Q18" s="18" t="n">
        <v>26.56229034</v>
      </c>
      <c r="R18" s="20" t="n">
        <v>2.89717105</v>
      </c>
    </row>
    <row r="19" spans="1:18">
      <c r="A19" s="15" t="s">
        <v>361</v>
      </c>
      <c r="B19" s="17" t="n">
        <v>2808</v>
      </c>
      <c r="C19" s="18">
        <f>(2480.0/B19*100)</f>
        <v/>
      </c>
      <c r="D19" s="19" t="n">
        <v>328</v>
      </c>
      <c r="E19" s="18" t="n">
        <v>41.39796839</v>
      </c>
      <c r="F19" s="20" t="n">
        <v>3.06309736</v>
      </c>
      <c r="G19" s="18" t="n">
        <v>42.46051228</v>
      </c>
      <c r="H19" s="20" t="n">
        <v>2.86836613</v>
      </c>
      <c r="I19" s="18" t="s">
        <v>349</v>
      </c>
      <c r="J19" s="20" t="s">
        <v>349</v>
      </c>
      <c r="K19" s="18" t="n">
        <v>0</v>
      </c>
      <c r="L19" s="20" t="n">
        <v>0</v>
      </c>
      <c r="M19" s="18" t="n">
        <v>0</v>
      </c>
      <c r="N19" s="20" t="n">
        <v>0</v>
      </c>
      <c r="O19" s="18" t="n">
        <v>0</v>
      </c>
      <c r="P19" s="20" t="n">
        <v>0</v>
      </c>
      <c r="Q19" s="18" t="n">
        <v>16.14151933</v>
      </c>
      <c r="R19" s="20" t="n">
        <v>2.32000543</v>
      </c>
    </row>
    <row r="20" spans="1:18">
      <c r="A20" s="15" t="s">
        <v>362</v>
      </c>
      <c r="B20" s="17" t="n">
        <v>1630</v>
      </c>
      <c r="C20" s="18">
        <f>(1430.0/B20*100)</f>
        <v/>
      </c>
      <c r="D20" s="19" t="n">
        <v>200</v>
      </c>
      <c r="E20" s="18" t="n">
        <v>60.7875658</v>
      </c>
      <c r="F20" s="20" t="n">
        <v>3.31311657</v>
      </c>
      <c r="G20" s="18" t="n">
        <v>20.69189118</v>
      </c>
      <c r="H20" s="20" t="n">
        <v>3.05565936</v>
      </c>
      <c r="I20" s="18" t="s">
        <v>349</v>
      </c>
      <c r="J20" s="20" t="s">
        <v>349</v>
      </c>
      <c r="K20" s="18" t="n">
        <v>3.31513772</v>
      </c>
      <c r="L20" s="20" t="n">
        <v>1.23189735</v>
      </c>
      <c r="M20" s="18" t="n">
        <v>0</v>
      </c>
      <c r="N20" s="20" t="n">
        <v>0</v>
      </c>
      <c r="O20" s="18" t="n">
        <v>0</v>
      </c>
      <c r="P20" s="20" t="n">
        <v>0</v>
      </c>
      <c r="Q20" s="18" t="n">
        <v>15.2054053</v>
      </c>
      <c r="R20" s="20" t="n">
        <v>2.46538372</v>
      </c>
    </row>
    <row r="21" spans="1:18">
      <c r="A21" s="15" t="s">
        <v>363</v>
      </c>
      <c r="B21" s="17" t="n">
        <v>2908</v>
      </c>
      <c r="C21" s="18">
        <f>(2421.0/B21*100)</f>
        <v/>
      </c>
      <c r="D21" s="19" t="n">
        <v>487</v>
      </c>
      <c r="E21" s="18" t="n">
        <v>51.04871202</v>
      </c>
      <c r="F21" s="20" t="n">
        <v>2.30416557</v>
      </c>
      <c r="G21" s="18" t="n">
        <v>36.5834874</v>
      </c>
      <c r="H21" s="20" t="n">
        <v>2.57807717</v>
      </c>
      <c r="I21" s="18" t="s">
        <v>349</v>
      </c>
      <c r="J21" s="20" t="s">
        <v>349</v>
      </c>
      <c r="K21" s="18" t="n">
        <v>1.2627907</v>
      </c>
      <c r="L21" s="20" t="n">
        <v>0.58516747</v>
      </c>
      <c r="M21" s="18" t="n">
        <v>0</v>
      </c>
      <c r="N21" s="20" t="n">
        <v>0</v>
      </c>
      <c r="O21" s="18" t="n">
        <v>0</v>
      </c>
      <c r="P21" s="20" t="n">
        <v>0</v>
      </c>
      <c r="Q21" s="18" t="n">
        <v>11.10500988</v>
      </c>
      <c r="R21" s="20" t="n">
        <v>1.3662678</v>
      </c>
    </row>
    <row r="22" spans="1:18">
      <c r="A22" s="15" t="s">
        <v>364</v>
      </c>
      <c r="B22" s="17" t="n">
        <v>2931</v>
      </c>
      <c r="C22" s="18">
        <f>(2570.0/B22*100)</f>
        <v/>
      </c>
      <c r="D22" s="19" t="n">
        <v>361</v>
      </c>
      <c r="E22" s="18" t="n">
        <v>52.81999271</v>
      </c>
      <c r="F22" s="20" t="n">
        <v>3.16697192</v>
      </c>
      <c r="G22" s="18" t="n">
        <v>27.35769989</v>
      </c>
      <c r="H22" s="20" t="n">
        <v>2.69288912</v>
      </c>
      <c r="I22" s="18" t="s">
        <v>349</v>
      </c>
      <c r="J22" s="20" t="s">
        <v>349</v>
      </c>
      <c r="K22" s="18" t="n">
        <v>1.45349937</v>
      </c>
      <c r="L22" s="20" t="n">
        <v>0.62584026</v>
      </c>
      <c r="M22" s="18" t="n">
        <v>0</v>
      </c>
      <c r="N22" s="20" t="n">
        <v>0</v>
      </c>
      <c r="O22" s="18" t="n">
        <v>0</v>
      </c>
      <c r="P22" s="20" t="n">
        <v>0</v>
      </c>
      <c r="Q22" s="18" t="n">
        <v>18.36880804</v>
      </c>
      <c r="R22" s="20" t="n">
        <v>1.96077156</v>
      </c>
    </row>
    <row r="23" spans="1:18">
      <c r="A23" s="15" t="s">
        <v>365</v>
      </c>
      <c r="B23" s="17" t="n">
        <v>5791</v>
      </c>
      <c r="C23" s="18">
        <f>(5094.0/B23*100)</f>
        <v/>
      </c>
      <c r="D23" s="19" t="n">
        <v>697</v>
      </c>
      <c r="E23" s="18" t="n">
        <v>45.24549657</v>
      </c>
      <c r="F23" s="20" t="n">
        <v>2.33936055</v>
      </c>
      <c r="G23" s="18" t="n">
        <v>22.08832539</v>
      </c>
      <c r="H23" s="20" t="n">
        <v>2.30638568</v>
      </c>
      <c r="I23" s="18" t="s">
        <v>349</v>
      </c>
      <c r="J23" s="20" t="s">
        <v>349</v>
      </c>
      <c r="K23" s="18" t="n">
        <v>1.13677235</v>
      </c>
      <c r="L23" s="20" t="n">
        <v>0.52786148</v>
      </c>
      <c r="M23" s="18" t="n">
        <v>0</v>
      </c>
      <c r="N23" s="20" t="n">
        <v>0</v>
      </c>
      <c r="O23" s="18" t="n">
        <v>0</v>
      </c>
      <c r="P23" s="20" t="n">
        <v>0</v>
      </c>
      <c r="Q23" s="18" t="n">
        <v>31.52940569</v>
      </c>
      <c r="R23" s="20" t="n">
        <v>2.27760293</v>
      </c>
    </row>
    <row r="24" spans="1:18">
      <c r="A24" s="15" t="s">
        <v>366</v>
      </c>
      <c r="B24" s="17" t="n">
        <v>3338</v>
      </c>
      <c r="C24" s="18">
        <f>(2916.0/B24*100)</f>
        <v/>
      </c>
      <c r="D24" s="19" t="n">
        <v>422</v>
      </c>
      <c r="E24" s="18" t="n">
        <v>28.7629364</v>
      </c>
      <c r="F24" s="20" t="n">
        <v>2.25765333</v>
      </c>
      <c r="G24" s="18" t="n">
        <v>55.11902485</v>
      </c>
      <c r="H24" s="20" t="n">
        <v>2.3002911</v>
      </c>
      <c r="I24" s="18" t="s">
        <v>349</v>
      </c>
      <c r="J24" s="20" t="s">
        <v>349</v>
      </c>
      <c r="K24" s="18" t="n">
        <v>0.6475823000000001</v>
      </c>
      <c r="L24" s="20" t="n">
        <v>0.38134555</v>
      </c>
      <c r="M24" s="18" t="n">
        <v>0</v>
      </c>
      <c r="N24" s="20" t="n">
        <v>0</v>
      </c>
      <c r="O24" s="18" t="n">
        <v>0</v>
      </c>
      <c r="P24" s="20" t="n">
        <v>0</v>
      </c>
      <c r="Q24" s="18" t="n">
        <v>15.47045645</v>
      </c>
      <c r="R24" s="20" t="n">
        <v>1.5375934</v>
      </c>
    </row>
    <row r="25" spans="1:18">
      <c r="A25" s="15" t="s">
        <v>367</v>
      </c>
      <c r="B25" s="17" t="n">
        <v>2912</v>
      </c>
      <c r="C25" s="18">
        <f>(2542.0/B25*100)</f>
        <v/>
      </c>
      <c r="D25" s="19" t="n">
        <v>370</v>
      </c>
      <c r="E25" s="18" t="n">
        <v>49.11058309</v>
      </c>
      <c r="F25" s="20" t="n">
        <v>2.98635293</v>
      </c>
      <c r="G25" s="18" t="n">
        <v>32.36027928</v>
      </c>
      <c r="H25" s="20" t="n">
        <v>2.94865401</v>
      </c>
      <c r="I25" s="18" t="s">
        <v>349</v>
      </c>
      <c r="J25" s="20" t="s">
        <v>349</v>
      </c>
      <c r="K25" s="18" t="n">
        <v>0.54017857</v>
      </c>
      <c r="L25" s="20" t="n">
        <v>0.38301407</v>
      </c>
      <c r="M25" s="18" t="n">
        <v>0</v>
      </c>
      <c r="N25" s="20" t="n">
        <v>0</v>
      </c>
      <c r="O25" s="18" t="n">
        <v>0</v>
      </c>
      <c r="P25" s="20" t="n">
        <v>0</v>
      </c>
      <c r="Q25" s="18" t="n">
        <v>17.98895906</v>
      </c>
      <c r="R25" s="20" t="n">
        <v>2.15664783</v>
      </c>
    </row>
    <row r="26" spans="1:18">
      <c r="A26" s="15" t="s">
        <v>368</v>
      </c>
      <c r="B26" s="17" t="n">
        <v>2450</v>
      </c>
      <c r="C26" s="18">
        <f>(2163.0/B26*100)</f>
        <v/>
      </c>
      <c r="D26" s="19" t="n">
        <v>287</v>
      </c>
      <c r="E26" s="18" t="n">
        <v>66.20059428</v>
      </c>
      <c r="F26" s="20" t="n">
        <v>2.91449871</v>
      </c>
      <c r="G26" s="18" t="n">
        <v>17.0421726</v>
      </c>
      <c r="H26" s="20" t="n">
        <v>2.49172766</v>
      </c>
      <c r="I26" s="18" t="s">
        <v>349</v>
      </c>
      <c r="J26" s="20" t="s">
        <v>349</v>
      </c>
      <c r="K26" s="18" t="n">
        <v>0.30104782</v>
      </c>
      <c r="L26" s="20" t="n">
        <v>0.2835197</v>
      </c>
      <c r="M26" s="18" t="n">
        <v>0</v>
      </c>
      <c r="N26" s="20" t="n">
        <v>0</v>
      </c>
      <c r="O26" s="18" t="n">
        <v>0</v>
      </c>
      <c r="P26" s="20" t="n">
        <v>0</v>
      </c>
      <c r="Q26" s="18" t="n">
        <v>16.4561853</v>
      </c>
      <c r="R26" s="20" t="n">
        <v>2.31761006</v>
      </c>
    </row>
    <row r="27" spans="1:18">
      <c r="A27" s="15" t="s">
        <v>369</v>
      </c>
      <c r="B27" s="17" t="n">
        <v>2616</v>
      </c>
      <c r="C27" s="18">
        <f>(2292.0/B27*100)</f>
        <v/>
      </c>
      <c r="D27" s="19" t="n">
        <v>324</v>
      </c>
      <c r="E27" s="18" t="n">
        <v>45.72377598</v>
      </c>
      <c r="F27" s="20" t="n">
        <v>2.42625718</v>
      </c>
      <c r="G27" s="18" t="n">
        <v>32.85253541</v>
      </c>
      <c r="H27" s="20" t="n">
        <v>2.38329566</v>
      </c>
      <c r="I27" s="18" t="s">
        <v>349</v>
      </c>
      <c r="J27" s="20" t="s">
        <v>349</v>
      </c>
      <c r="K27" s="18" t="n">
        <v>0.93860263</v>
      </c>
      <c r="L27" s="20" t="n">
        <v>0.53534367</v>
      </c>
      <c r="M27" s="18" t="n">
        <v>0</v>
      </c>
      <c r="N27" s="20" t="n">
        <v>0</v>
      </c>
      <c r="O27" s="18" t="n">
        <v>0</v>
      </c>
      <c r="P27" s="20" t="n">
        <v>0</v>
      </c>
      <c r="Q27" s="18" t="n">
        <v>20.48508598</v>
      </c>
      <c r="R27" s="20" t="n">
        <v>2.12558732</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43.8081532</v>
      </c>
      <c r="F29" s="20" t="n">
        <v>2.79348359</v>
      </c>
      <c r="G29" s="18" t="n">
        <v>40.34822298</v>
      </c>
      <c r="H29" s="20" t="n">
        <v>2.96975683</v>
      </c>
      <c r="I29" s="18" t="s">
        <v>349</v>
      </c>
      <c r="J29" s="20" t="s">
        <v>349</v>
      </c>
      <c r="K29" s="18" t="n">
        <v>0.5842277299999999</v>
      </c>
      <c r="L29" s="20" t="n">
        <v>0.4258426</v>
      </c>
      <c r="M29" s="18" t="n">
        <v>0</v>
      </c>
      <c r="N29" s="20" t="n">
        <v>0</v>
      </c>
      <c r="O29" s="18" t="n">
        <v>0</v>
      </c>
      <c r="P29" s="20" t="n">
        <v>0</v>
      </c>
      <c r="Q29" s="18" t="n">
        <v>15.2593961</v>
      </c>
      <c r="R29" s="20" t="n">
        <v>1.63539599</v>
      </c>
    </row>
    <row r="30" spans="1:18">
      <c r="A30" s="15" t="s">
        <v>372</v>
      </c>
      <c r="B30" s="17" t="n">
        <v>2263</v>
      </c>
      <c r="C30" s="18">
        <f>(2010.0/B30*100)</f>
        <v/>
      </c>
      <c r="D30" s="19" t="n">
        <v>253</v>
      </c>
      <c r="E30" s="18" t="n">
        <v>49.28235868</v>
      </c>
      <c r="F30" s="20" t="n">
        <v>3.48680479</v>
      </c>
      <c r="G30" s="18" t="n">
        <v>33.95069771</v>
      </c>
      <c r="H30" s="20" t="n">
        <v>3.51264794</v>
      </c>
      <c r="I30" s="18" t="s">
        <v>349</v>
      </c>
      <c r="J30" s="20" t="s">
        <v>349</v>
      </c>
      <c r="K30" s="18" t="n">
        <v>1.00416955</v>
      </c>
      <c r="L30" s="20" t="n">
        <v>0.5082845499999999</v>
      </c>
      <c r="M30" s="18" t="n">
        <v>0</v>
      </c>
      <c r="N30" s="20" t="n">
        <v>0</v>
      </c>
      <c r="O30" s="18" t="n">
        <v>0</v>
      </c>
      <c r="P30" s="20" t="n">
        <v>0</v>
      </c>
      <c r="Q30" s="18" t="n">
        <v>15.76277406</v>
      </c>
      <c r="R30" s="20" t="n">
        <v>2.6609269</v>
      </c>
    </row>
    <row r="31" spans="1:18">
      <c r="A31" s="15" t="s">
        <v>373</v>
      </c>
      <c r="B31" s="17" t="n">
        <v>2750</v>
      </c>
      <c r="C31" s="18">
        <f>(2395.0/B31*100)</f>
        <v/>
      </c>
      <c r="D31" s="19" t="n">
        <v>355</v>
      </c>
      <c r="E31" s="18" t="n">
        <v>42.21297704</v>
      </c>
      <c r="F31" s="20" t="n">
        <v>2.78361679</v>
      </c>
      <c r="G31" s="18" t="n">
        <v>38.52122531</v>
      </c>
      <c r="H31" s="20" t="n">
        <v>2.43237999</v>
      </c>
      <c r="I31" s="18" t="s">
        <v>349</v>
      </c>
      <c r="J31" s="20" t="s">
        <v>349</v>
      </c>
      <c r="K31" s="18" t="n">
        <v>1.64948087</v>
      </c>
      <c r="L31" s="20" t="n">
        <v>0.67938382</v>
      </c>
      <c r="M31" s="18" t="n">
        <v>0</v>
      </c>
      <c r="N31" s="20" t="n">
        <v>0</v>
      </c>
      <c r="O31" s="18" t="n">
        <v>0</v>
      </c>
      <c r="P31" s="20" t="n">
        <v>0</v>
      </c>
      <c r="Q31" s="18" t="n">
        <v>17.61631678</v>
      </c>
      <c r="R31" s="20" t="n">
        <v>2.31626096</v>
      </c>
    </row>
    <row r="32" spans="1:18">
      <c r="A32" s="15" t="s">
        <v>374</v>
      </c>
      <c r="B32" s="17" t="n">
        <v>2269</v>
      </c>
      <c r="C32" s="18">
        <f>(1893.0/B32*100)</f>
        <v/>
      </c>
      <c r="D32" s="19" t="n">
        <v>376</v>
      </c>
      <c r="E32" s="18" t="n">
        <v>51.74094932</v>
      </c>
      <c r="F32" s="20" t="n">
        <v>2.64727546</v>
      </c>
      <c r="G32" s="18" t="n">
        <v>31.26476436</v>
      </c>
      <c r="H32" s="20" t="n">
        <v>2.47719407</v>
      </c>
      <c r="I32" s="18" t="s">
        <v>349</v>
      </c>
      <c r="J32" s="20" t="s">
        <v>349</v>
      </c>
      <c r="K32" s="18" t="n">
        <v>0.7572560699999999</v>
      </c>
      <c r="L32" s="20" t="n">
        <v>0.41581577</v>
      </c>
      <c r="M32" s="18" t="n">
        <v>0</v>
      </c>
      <c r="N32" s="20" t="n">
        <v>0</v>
      </c>
      <c r="O32" s="18" t="n">
        <v>0</v>
      </c>
      <c r="P32" s="20" t="n">
        <v>0</v>
      </c>
      <c r="Q32" s="18" t="n">
        <v>16.23703024</v>
      </c>
      <c r="R32" s="20" t="n">
        <v>2.14174305</v>
      </c>
    </row>
    <row r="33" spans="1:18">
      <c r="A33" s="15" t="s">
        <v>375</v>
      </c>
      <c r="B33" s="17" t="n">
        <v>3674</v>
      </c>
      <c r="C33" s="18">
        <f>(3239.0/B33*100)</f>
        <v/>
      </c>
      <c r="D33" s="19" t="n">
        <v>435</v>
      </c>
      <c r="E33" s="18" t="n">
        <v>46.85225963</v>
      </c>
      <c r="F33" s="20" t="n">
        <v>2.85406609</v>
      </c>
      <c r="G33" s="18" t="n">
        <v>25.88041887</v>
      </c>
      <c r="H33" s="20" t="n">
        <v>2.16446104</v>
      </c>
      <c r="I33" s="18" t="s">
        <v>349</v>
      </c>
      <c r="J33" s="20" t="s">
        <v>349</v>
      </c>
      <c r="K33" s="18" t="n">
        <v>1.07354879</v>
      </c>
      <c r="L33" s="20" t="n">
        <v>0.61105173</v>
      </c>
      <c r="M33" s="18" t="n">
        <v>0</v>
      </c>
      <c r="N33" s="20" t="n">
        <v>0</v>
      </c>
      <c r="O33" s="18" t="n">
        <v>0</v>
      </c>
      <c r="P33" s="20" t="n">
        <v>0</v>
      </c>
      <c r="Q33" s="18" t="n">
        <v>26.19377272</v>
      </c>
      <c r="R33" s="20" t="n">
        <v>2.67316134</v>
      </c>
    </row>
    <row r="34" spans="1:18">
      <c r="A34" s="15" t="s">
        <v>376</v>
      </c>
      <c r="B34" s="17" t="n">
        <v>3315</v>
      </c>
      <c r="C34" s="18">
        <f>(2940.0/B34*100)</f>
        <v/>
      </c>
      <c r="D34" s="19" t="n">
        <v>375</v>
      </c>
      <c r="E34" s="18" t="n">
        <v>56.64244433</v>
      </c>
      <c r="F34" s="20" t="n">
        <v>2.6701579</v>
      </c>
      <c r="G34" s="18" t="n">
        <v>24.35884192</v>
      </c>
      <c r="H34" s="20" t="n">
        <v>2.64638225</v>
      </c>
      <c r="I34" s="18" t="s">
        <v>349</v>
      </c>
      <c r="J34" s="20" t="s">
        <v>349</v>
      </c>
      <c r="K34" s="18" t="n">
        <v>0.21438955</v>
      </c>
      <c r="L34" s="20" t="n">
        <v>0.21285548</v>
      </c>
      <c r="M34" s="18" t="n">
        <v>0</v>
      </c>
      <c r="N34" s="20" t="n">
        <v>0</v>
      </c>
      <c r="O34" s="18" t="n">
        <v>0</v>
      </c>
      <c r="P34" s="20" t="n">
        <v>0</v>
      </c>
      <c r="Q34" s="18" t="n">
        <v>18.7843242</v>
      </c>
      <c r="R34" s="20" t="n">
        <v>2.01020636</v>
      </c>
    </row>
    <row r="35" spans="1:18">
      <c r="A35" s="15" t="s">
        <v>377</v>
      </c>
      <c r="B35" s="17" t="n">
        <v>3505</v>
      </c>
      <c r="C35" s="18">
        <f>(3075.0/B35*100)</f>
        <v/>
      </c>
      <c r="D35" s="19" t="n">
        <v>430</v>
      </c>
      <c r="E35" s="18" t="n">
        <v>44.90512607</v>
      </c>
      <c r="F35" s="20" t="n">
        <v>3.03958571</v>
      </c>
      <c r="G35" s="18" t="n">
        <v>40.84958732</v>
      </c>
      <c r="H35" s="20" t="n">
        <v>3.19353908</v>
      </c>
      <c r="I35" s="18" t="s">
        <v>349</v>
      </c>
      <c r="J35" s="20" t="s">
        <v>349</v>
      </c>
      <c r="K35" s="18" t="n">
        <v>0.41164289</v>
      </c>
      <c r="L35" s="20" t="n">
        <v>0.20734565</v>
      </c>
      <c r="M35" s="18" t="n">
        <v>0.40224172</v>
      </c>
      <c r="N35" s="20" t="n">
        <v>0.40365557</v>
      </c>
      <c r="O35" s="18" t="n">
        <v>0</v>
      </c>
      <c r="P35" s="20" t="n">
        <v>0</v>
      </c>
      <c r="Q35" s="18" t="n">
        <v>13.43140199</v>
      </c>
      <c r="R35" s="20" t="n">
        <v>1.67224377</v>
      </c>
    </row>
    <row r="36" spans="1:18">
      <c r="A36" s="15" t="s">
        <v>378</v>
      </c>
      <c r="B36" s="17" t="n">
        <v>3332</v>
      </c>
      <c r="C36" s="18">
        <f>(2928.0/B36*100)</f>
        <v/>
      </c>
      <c r="D36" s="19" t="n">
        <v>404</v>
      </c>
      <c r="E36" s="18" t="n">
        <v>55.54183793</v>
      </c>
      <c r="F36" s="20" t="n">
        <v>2.91265393</v>
      </c>
      <c r="G36" s="18" t="n">
        <v>33.19395494</v>
      </c>
      <c r="H36" s="20" t="n">
        <v>2.49885759</v>
      </c>
      <c r="I36" s="18" t="s">
        <v>349</v>
      </c>
      <c r="J36" s="20" t="s">
        <v>349</v>
      </c>
      <c r="K36" s="18" t="n">
        <v>0.6551444</v>
      </c>
      <c r="L36" s="20" t="n">
        <v>0.40527066</v>
      </c>
      <c r="M36" s="18" t="n">
        <v>0</v>
      </c>
      <c r="N36" s="20" t="n">
        <v>0</v>
      </c>
      <c r="O36" s="18" t="n">
        <v>0</v>
      </c>
      <c r="P36" s="20" t="n">
        <v>0</v>
      </c>
      <c r="Q36" s="18" t="n">
        <v>10.60906273</v>
      </c>
      <c r="R36" s="20" t="n">
        <v>1.98492279</v>
      </c>
    </row>
    <row r="37" spans="1:18">
      <c r="A37" s="15" t="s">
        <v>379</v>
      </c>
      <c r="B37" s="17" t="n">
        <v>2727</v>
      </c>
      <c r="C37" s="18">
        <f>(2403.0/B37*100)</f>
        <v/>
      </c>
      <c r="D37" s="19" t="n">
        <v>324</v>
      </c>
      <c r="E37" s="18" t="n">
        <v>48.00250252</v>
      </c>
      <c r="F37" s="20" t="n">
        <v>3.00939142</v>
      </c>
      <c r="G37" s="18" t="n">
        <v>26.43784015</v>
      </c>
      <c r="H37" s="20" t="n">
        <v>2.54949685</v>
      </c>
      <c r="I37" s="18" t="s">
        <v>349</v>
      </c>
      <c r="J37" s="20" t="s">
        <v>349</v>
      </c>
      <c r="K37" s="18" t="n">
        <v>3.47467579</v>
      </c>
      <c r="L37" s="20" t="n">
        <v>1.13844636</v>
      </c>
      <c r="M37" s="18" t="n">
        <v>0</v>
      </c>
      <c r="N37" s="20" t="n">
        <v>0</v>
      </c>
      <c r="O37" s="18" t="n">
        <v>0</v>
      </c>
      <c r="P37" s="20" t="n">
        <v>0</v>
      </c>
      <c r="Q37" s="18" t="n">
        <v>22.08498154</v>
      </c>
      <c r="R37" s="20" t="n">
        <v>2.46388894</v>
      </c>
    </row>
    <row r="38" spans="1:18">
      <c r="A38" s="15" t="s">
        <v>380</v>
      </c>
      <c r="B38" s="17" t="n">
        <v>3053</v>
      </c>
      <c r="C38" s="18">
        <f>(2551.0/B38*100)</f>
        <v/>
      </c>
      <c r="D38" s="19" t="n">
        <v>502</v>
      </c>
      <c r="E38" s="18" t="n">
        <v>41.97646855</v>
      </c>
      <c r="F38" s="20" t="n">
        <v>2.62094944</v>
      </c>
      <c r="G38" s="18" t="n">
        <v>42.63646603</v>
      </c>
      <c r="H38" s="20" t="n">
        <v>2.73827295</v>
      </c>
      <c r="I38" s="18" t="s">
        <v>349</v>
      </c>
      <c r="J38" s="20" t="s">
        <v>349</v>
      </c>
      <c r="K38" s="18" t="n">
        <v>1.40768478</v>
      </c>
      <c r="L38" s="20" t="n">
        <v>0.53959644</v>
      </c>
      <c r="M38" s="18" t="n">
        <v>0.26075619</v>
      </c>
      <c r="N38" s="20" t="n">
        <v>0.2601108</v>
      </c>
      <c r="O38" s="18" t="n">
        <v>0</v>
      </c>
      <c r="P38" s="20" t="n">
        <v>0</v>
      </c>
      <c r="Q38" s="18" t="n">
        <v>13.71862445</v>
      </c>
      <c r="R38" s="20" t="n">
        <v>1.47020379</v>
      </c>
    </row>
    <row r="39" spans="1:18">
      <c r="A39" s="15" t="s">
        <v>381</v>
      </c>
      <c r="B39" s="17" t="n">
        <v>2957</v>
      </c>
      <c r="C39" s="18">
        <f>(2581.0/B39*100)</f>
        <v/>
      </c>
      <c r="D39" s="19" t="n">
        <v>376</v>
      </c>
      <c r="E39" s="18" t="n">
        <v>73.71763301</v>
      </c>
      <c r="F39" s="20" t="n">
        <v>2.81426937</v>
      </c>
      <c r="G39" s="18" t="n">
        <v>11.57295701</v>
      </c>
      <c r="H39" s="20" t="n">
        <v>1.90796342</v>
      </c>
      <c r="I39" s="18" t="s">
        <v>349</v>
      </c>
      <c r="J39" s="20" t="s">
        <v>349</v>
      </c>
      <c r="K39" s="18" t="n">
        <v>0.76995324</v>
      </c>
      <c r="L39" s="20" t="n">
        <v>0.4705309</v>
      </c>
      <c r="M39" s="18" t="n">
        <v>0</v>
      </c>
      <c r="N39" s="20" t="n">
        <v>0</v>
      </c>
      <c r="O39" s="18" t="n">
        <v>0</v>
      </c>
      <c r="P39" s="20" t="n">
        <v>0</v>
      </c>
      <c r="Q39" s="18" t="n">
        <v>13.93945674</v>
      </c>
      <c r="R39" s="20" t="n">
        <v>2.16616653</v>
      </c>
    </row>
    <row r="40" spans="1:18">
      <c r="A40" s="15" t="s">
        <v>382</v>
      </c>
      <c r="B40" s="17" t="n">
        <v>7235</v>
      </c>
      <c r="C40" s="18">
        <f>(6369.0/B40*100)</f>
        <v/>
      </c>
      <c r="D40" s="19" t="n">
        <v>866</v>
      </c>
      <c r="E40" s="18" t="n">
        <v>46.74027994</v>
      </c>
      <c r="F40" s="20" t="n">
        <v>2.59344348</v>
      </c>
      <c r="G40" s="18" t="n">
        <v>36.7285995</v>
      </c>
      <c r="H40" s="20" t="n">
        <v>2.39174076</v>
      </c>
      <c r="I40" s="18" t="s">
        <v>349</v>
      </c>
      <c r="J40" s="20" t="s">
        <v>349</v>
      </c>
      <c r="K40" s="18" t="n">
        <v>0.49371284</v>
      </c>
      <c r="L40" s="20" t="n">
        <v>0.28319709</v>
      </c>
      <c r="M40" s="18" t="n">
        <v>0.24060744</v>
      </c>
      <c r="N40" s="20" t="n">
        <v>0.24022343</v>
      </c>
      <c r="O40" s="18" t="n">
        <v>0</v>
      </c>
      <c r="P40" s="20" t="n">
        <v>0</v>
      </c>
      <c r="Q40" s="18" t="n">
        <v>15.79680028</v>
      </c>
      <c r="R40" s="20" t="n">
        <v>2.0172752</v>
      </c>
    </row>
    <row r="41" spans="1:18">
      <c r="A41" s="15" t="s">
        <v>383</v>
      </c>
      <c r="B41" s="17" t="n">
        <v>2858</v>
      </c>
      <c r="C41" s="18">
        <f>(2535.0/B41*100)</f>
        <v/>
      </c>
      <c r="D41" s="19" t="n">
        <v>323</v>
      </c>
      <c r="E41" s="18" t="n">
        <v>64.40208011</v>
      </c>
      <c r="F41" s="20" t="n">
        <v>2.6937345</v>
      </c>
      <c r="G41" s="18" t="n">
        <v>32.18345238</v>
      </c>
      <c r="H41" s="20" t="n">
        <v>2.71719609</v>
      </c>
      <c r="I41" s="18" t="s">
        <v>349</v>
      </c>
      <c r="J41" s="20" t="s">
        <v>349</v>
      </c>
      <c r="K41" s="18" t="n">
        <v>0</v>
      </c>
      <c r="L41" s="20" t="n">
        <v>0</v>
      </c>
      <c r="M41" s="18" t="n">
        <v>0</v>
      </c>
      <c r="N41" s="20" t="n">
        <v>0</v>
      </c>
      <c r="O41" s="18" t="n">
        <v>0</v>
      </c>
      <c r="P41" s="20" t="n">
        <v>0</v>
      </c>
      <c r="Q41" s="18" t="n">
        <v>3.41446751</v>
      </c>
      <c r="R41" s="20" t="n">
        <v>1.08379958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(4509.0/B48*100)</f>
        <v/>
      </c>
      <c r="D48" s="19" t="n">
        <v>650</v>
      </c>
      <c r="E48" s="18" t="n">
        <v>49.85173986</v>
      </c>
      <c r="F48" s="20" t="n">
        <v>2.44809996</v>
      </c>
      <c r="G48" s="18" t="n">
        <v>41.51670979</v>
      </c>
      <c r="H48" s="20" t="n">
        <v>2.50654999</v>
      </c>
      <c r="I48" s="18" t="s">
        <v>349</v>
      </c>
      <c r="J48" s="20" t="s">
        <v>349</v>
      </c>
      <c r="K48" s="18" t="n">
        <v>0.21930865</v>
      </c>
      <c r="L48" s="20" t="n">
        <v>0.20771392</v>
      </c>
      <c r="M48" s="18" t="n">
        <v>0.1150316</v>
      </c>
      <c r="N48" s="20" t="n">
        <v>0.11501661</v>
      </c>
      <c r="O48" s="18" t="n">
        <v>0</v>
      </c>
      <c r="P48" s="20" t="n">
        <v>0</v>
      </c>
      <c r="Q48" s="18" t="n">
        <v>8.29721011</v>
      </c>
      <c r="R48" s="20" t="n">
        <v>1.52225374</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(2465.0/B52*100)</f>
        <v/>
      </c>
      <c r="D52" s="19" t="n">
        <v>331</v>
      </c>
      <c r="E52" s="18" t="n">
        <v>50.91636154</v>
      </c>
      <c r="F52" s="20" t="n">
        <v>2.98497586</v>
      </c>
      <c r="G52" s="18" t="n">
        <v>24.63536225</v>
      </c>
      <c r="H52" s="20" t="n">
        <v>2.56657675</v>
      </c>
      <c r="I52" s="18" t="s">
        <v>349</v>
      </c>
      <c r="J52" s="20" t="s">
        <v>349</v>
      </c>
      <c r="K52" s="18" t="n">
        <v>1.27770604</v>
      </c>
      <c r="L52" s="20" t="n">
        <v>0.64222175</v>
      </c>
      <c r="M52" s="18" t="n">
        <v>0</v>
      </c>
      <c r="N52" s="20" t="n">
        <v>0</v>
      </c>
      <c r="O52" s="18" t="n">
        <v>0</v>
      </c>
      <c r="P52" s="20" t="n">
        <v>0</v>
      </c>
      <c r="Q52" s="18" t="n">
        <v>23.17057017</v>
      </c>
      <c r="R52" s="20" t="n">
        <v>2.5876183</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47.90302697</v>
      </c>
      <c r="F56" s="20" t="n">
        <v>3.4662286</v>
      </c>
      <c r="G56" s="18" t="n">
        <v>41.76130996</v>
      </c>
      <c r="H56" s="20" t="n">
        <v>3.45388566</v>
      </c>
      <c r="I56" s="18" t="s">
        <v>349</v>
      </c>
      <c r="J56" s="20" t="s">
        <v>349</v>
      </c>
      <c r="K56" s="18" t="n">
        <v>0.53494455</v>
      </c>
      <c r="L56" s="20" t="n">
        <v>0.58629277</v>
      </c>
      <c r="M56" s="18" t="n">
        <v>0.22535474</v>
      </c>
      <c r="N56" s="20" t="n">
        <v>0.22579767</v>
      </c>
      <c r="O56" s="18" t="n">
        <v>0</v>
      </c>
      <c r="P56" s="20" t="n">
        <v>0</v>
      </c>
      <c r="Q56" s="18" t="n">
        <v>9.575363790000001</v>
      </c>
      <c r="R56" s="20" t="n">
        <v>2.60298251</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(2888.0/B61*100)</f>
        <v/>
      </c>
      <c r="D61" s="19" t="n">
        <v>436</v>
      </c>
      <c r="E61" s="18" t="n">
        <v>64.76501974</v>
      </c>
      <c r="F61" s="20" t="n">
        <v>2.55303351</v>
      </c>
      <c r="G61" s="18" t="n">
        <v>20.49514511</v>
      </c>
      <c r="H61" s="20" t="n">
        <v>1.83987499</v>
      </c>
      <c r="I61" s="18" t="s">
        <v>349</v>
      </c>
      <c r="J61" s="20" t="s">
        <v>349</v>
      </c>
      <c r="K61" s="18" t="n">
        <v>0.34013823</v>
      </c>
      <c r="L61" s="20" t="n">
        <v>0.35719239</v>
      </c>
      <c r="M61" s="18" t="n">
        <v>0</v>
      </c>
      <c r="N61" s="20" t="n">
        <v>0</v>
      </c>
      <c r="O61" s="18" t="n">
        <v>0</v>
      </c>
      <c r="P61" s="20" t="n">
        <v>0</v>
      </c>
      <c r="Q61" s="18" t="n">
        <v>14.39969692</v>
      </c>
      <c r="R61" s="20" t="n">
        <v>1.79968795</v>
      </c>
    </row>
    <row r="62" spans="1:18">
      <c r="A62" s="15" t="s">
        <v>404</v>
      </c>
      <c r="B62" s="17" t="n">
        <v>2246</v>
      </c>
      <c r="C62" s="18">
        <f>(1969.0/B62*100)</f>
        <v/>
      </c>
      <c r="D62" s="19" t="n">
        <v>277</v>
      </c>
      <c r="E62" s="18" t="n">
        <v>53.04421802</v>
      </c>
      <c r="F62" s="20" t="n">
        <v>3.32247232</v>
      </c>
      <c r="G62" s="18" t="n">
        <v>38.23681457</v>
      </c>
      <c r="H62" s="20" t="n">
        <v>2.90440531</v>
      </c>
      <c r="I62" s="18" t="s">
        <v>349</v>
      </c>
      <c r="J62" s="20" t="s">
        <v>349</v>
      </c>
      <c r="K62" s="18" t="n">
        <v>0</v>
      </c>
      <c r="L62" s="20" t="n">
        <v>0</v>
      </c>
      <c r="M62" s="18" t="n">
        <v>0</v>
      </c>
      <c r="N62" s="20" t="n">
        <v>0</v>
      </c>
      <c r="O62" s="18" t="n">
        <v>0</v>
      </c>
      <c r="P62" s="20" t="n">
        <v>0</v>
      </c>
      <c r="Q62" s="18" t="n">
        <v>8.718967409999999</v>
      </c>
      <c r="R62" s="20" t="n">
        <v>1.48802143</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(2528.0/B66*100)</f>
        <v/>
      </c>
      <c r="D66" s="19" t="n">
        <v>366</v>
      </c>
      <c r="E66" s="18" t="n">
        <v>48.65546707</v>
      </c>
      <c r="F66" s="20" t="n">
        <v>2.36064283</v>
      </c>
      <c r="G66" s="18" t="n">
        <v>14.15582279</v>
      </c>
      <c r="H66" s="20" t="n">
        <v>1.80518626</v>
      </c>
      <c r="I66" s="18" t="s">
        <v>349</v>
      </c>
      <c r="J66" s="20" t="s">
        <v>349</v>
      </c>
      <c r="K66" s="18" t="n">
        <v>1.27661548</v>
      </c>
      <c r="L66" s="20" t="n">
        <v>0.57861252</v>
      </c>
      <c r="M66" s="18" t="n">
        <v>0</v>
      </c>
      <c r="N66" s="20" t="n">
        <v>0</v>
      </c>
      <c r="O66" s="18" t="n">
        <v>0</v>
      </c>
      <c r="P66" s="20" t="n">
        <v>0</v>
      </c>
      <c r="Q66" s="18" t="n">
        <v>35.91209466</v>
      </c>
      <c r="R66" s="20" t="n">
        <v>2.64258612</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(5026.0/B68*100)</f>
        <v/>
      </c>
      <c r="D68" s="19" t="n">
        <v>1023</v>
      </c>
      <c r="E68" s="18" t="n">
        <v>68.38204141</v>
      </c>
      <c r="F68" s="20" t="n">
        <v>1.55828702</v>
      </c>
      <c r="G68" s="18" t="n">
        <v>9.94867505</v>
      </c>
      <c r="H68" s="20" t="n">
        <v>0.90798199</v>
      </c>
      <c r="I68" s="18" t="s">
        <v>349</v>
      </c>
      <c r="J68" s="20" t="s">
        <v>349</v>
      </c>
      <c r="K68" s="18" t="n">
        <v>3.27317097</v>
      </c>
      <c r="L68" s="20" t="n">
        <v>0.47572306</v>
      </c>
      <c r="M68" s="18" t="n">
        <v>0</v>
      </c>
      <c r="N68" s="20" t="n">
        <v>0</v>
      </c>
      <c r="O68" s="18" t="n">
        <v>0</v>
      </c>
      <c r="P68" s="20" t="n">
        <v>0</v>
      </c>
      <c r="Q68" s="18" t="n">
        <v>18.39611256</v>
      </c>
      <c r="R68" s="20" t="n">
        <v>1.25357592</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(2566.0/B70*100)</f>
        <v/>
      </c>
      <c r="D70" s="19" t="n">
        <v>363</v>
      </c>
      <c r="E70" s="18" t="n">
        <v>44.58796869</v>
      </c>
      <c r="F70" s="20" t="n">
        <v>3.428706</v>
      </c>
      <c r="G70" s="18" t="n">
        <v>36.01084594</v>
      </c>
      <c r="H70" s="20" t="n">
        <v>2.97357836</v>
      </c>
      <c r="I70" s="18" t="s">
        <v>349</v>
      </c>
      <c r="J70" s="20" t="s">
        <v>349</v>
      </c>
      <c r="K70" s="18" t="n">
        <v>0.1447079</v>
      </c>
      <c r="L70" s="20" t="n">
        <v>0.1032361</v>
      </c>
      <c r="M70" s="18" t="n">
        <v>0.94393106</v>
      </c>
      <c r="N70" s="20" t="n">
        <v>0.5013174</v>
      </c>
      <c r="O70" s="18" t="n">
        <v>0</v>
      </c>
      <c r="P70" s="20" t="n">
        <v>0</v>
      </c>
      <c r="Q70" s="18" t="n">
        <v>18.31254641</v>
      </c>
      <c r="R70" s="20" t="n">
        <v>2.67742486</v>
      </c>
    </row>
    <row r="71" spans="1:18">
      <c r="A71" s="15" t="s">
        <v>413</v>
      </c>
      <c r="B71" s="17" t="n">
        <v>3142</v>
      </c>
      <c r="C71" s="18">
        <f>(2753.0/B71*100)</f>
        <v/>
      </c>
      <c r="D71" s="19" t="n">
        <v>389</v>
      </c>
      <c r="E71" s="18" t="n">
        <v>57.32606204</v>
      </c>
      <c r="F71" s="20" t="n">
        <v>2.70738941</v>
      </c>
      <c r="G71" s="18" t="n">
        <v>33.92922808</v>
      </c>
      <c r="H71" s="20" t="n">
        <v>2.61702427</v>
      </c>
      <c r="I71" s="18" t="s">
        <v>349</v>
      </c>
      <c r="J71" s="20" t="s">
        <v>349</v>
      </c>
      <c r="K71" s="18" t="n">
        <v>0.39657845</v>
      </c>
      <c r="L71" s="20" t="n">
        <v>0.2866553</v>
      </c>
      <c r="M71" s="18" t="n">
        <v>0</v>
      </c>
      <c r="N71" s="20" t="n">
        <v>0</v>
      </c>
      <c r="O71" s="18" t="n">
        <v>0</v>
      </c>
      <c r="P71" s="20" t="n">
        <v>0</v>
      </c>
      <c r="Q71" s="18" t="n">
        <v>8.34813143</v>
      </c>
      <c r="R71" s="20" t="n">
        <v>1.46596628</v>
      </c>
    </row>
    <row r="72" spans="1:18">
      <c r="A72" s="15" t="s">
        <v>414</v>
      </c>
      <c r="B72" s="17" t="n">
        <v>3889</v>
      </c>
      <c r="C72" s="18">
        <f>(3415.0/B72*100)</f>
        <v/>
      </c>
      <c r="D72" s="19" t="n">
        <v>474</v>
      </c>
      <c r="E72" s="18" t="n">
        <v>42.39231259</v>
      </c>
      <c r="F72" s="20" t="n">
        <v>2.47140199</v>
      </c>
      <c r="G72" s="18" t="n">
        <v>46.73395102</v>
      </c>
      <c r="H72" s="20" t="n">
        <v>2.66739335</v>
      </c>
      <c r="I72" s="18" t="s">
        <v>349</v>
      </c>
      <c r="J72" s="20" t="s">
        <v>349</v>
      </c>
      <c r="K72" s="18" t="n">
        <v>0.49840339</v>
      </c>
      <c r="L72" s="20" t="n">
        <v>0.32519364</v>
      </c>
      <c r="M72" s="18" t="n">
        <v>0</v>
      </c>
      <c r="N72" s="20" t="n">
        <v>0</v>
      </c>
      <c r="O72" s="18" t="n">
        <v>0</v>
      </c>
      <c r="P72" s="20" t="n">
        <v>0</v>
      </c>
      <c r="Q72" s="18" t="n">
        <v>10.37533299</v>
      </c>
      <c r="R72" s="20" t="n">
        <v>1.57320999</v>
      </c>
    </row>
    <row r="73" spans="1:18">
      <c r="A73" s="15" t="s">
        <v>415</v>
      </c>
      <c r="B73" s="17" t="n">
        <v>3597</v>
      </c>
      <c r="C73" s="18">
        <f>(3137.0/B73*100)</f>
        <v/>
      </c>
      <c r="D73" s="19" t="n">
        <v>460</v>
      </c>
      <c r="E73" s="18" t="n">
        <v>83.96300144</v>
      </c>
      <c r="F73" s="20" t="n">
        <v>2.19825146</v>
      </c>
      <c r="G73" s="18" t="n">
        <v>10.25471562</v>
      </c>
      <c r="H73" s="20" t="n">
        <v>1.69755078</v>
      </c>
      <c r="I73" s="18" t="s">
        <v>349</v>
      </c>
      <c r="J73" s="20" t="s">
        <v>349</v>
      </c>
      <c r="K73" s="18" t="n">
        <v>0</v>
      </c>
      <c r="L73" s="20" t="n">
        <v>0</v>
      </c>
      <c r="M73" s="18" t="n">
        <v>0</v>
      </c>
      <c r="N73" s="20" t="n">
        <v>0</v>
      </c>
      <c r="O73" s="18" t="n">
        <v>0</v>
      </c>
      <c r="P73" s="20" t="n">
        <v>0</v>
      </c>
      <c r="Q73" s="18" t="n">
        <v>5.78228294</v>
      </c>
      <c r="R73" s="20" t="n">
        <v>1.60837202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(3647.0/B81*100)</f>
        <v/>
      </c>
      <c r="D81" s="19" t="n">
        <v>516</v>
      </c>
      <c r="E81" s="18" t="n">
        <v>83.88989862</v>
      </c>
      <c r="F81" s="20" t="n">
        <v>2.35544647</v>
      </c>
      <c r="G81" s="18" t="n">
        <v>6.49167923</v>
      </c>
      <c r="H81" s="20" t="n">
        <v>1.31266738</v>
      </c>
      <c r="I81" s="18" t="s">
        <v>349</v>
      </c>
      <c r="J81" s="20" t="s">
        <v>349</v>
      </c>
      <c r="K81" s="18" t="n">
        <v>0.01980688</v>
      </c>
      <c r="L81" s="20" t="n">
        <v>0.67177181</v>
      </c>
      <c r="M81" s="18" t="n">
        <v>0</v>
      </c>
      <c r="N81" s="20" t="n">
        <v>0</v>
      </c>
      <c r="O81" s="18" t="n">
        <v>0</v>
      </c>
      <c r="P81" s="20" t="n">
        <v>0</v>
      </c>
      <c r="Q81" s="18" t="n">
        <v>9.598615280000001</v>
      </c>
      <c r="R81" s="20" t="n">
        <v>1.74576657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(6484.0/B7*100)</f>
        <v/>
      </c>
      <c r="D7" s="19" t="n">
        <v>883</v>
      </c>
      <c r="E7" s="18" t="n">
        <v>59.38693609</v>
      </c>
      <c r="F7" s="20" t="n">
        <v>1.86802935</v>
      </c>
      <c r="G7" s="18" t="n">
        <v>25.70364848</v>
      </c>
      <c r="H7" s="20" t="n">
        <v>1.72056318</v>
      </c>
      <c r="I7" s="18" t="s">
        <v>349</v>
      </c>
      <c r="J7" s="20" t="s">
        <v>349</v>
      </c>
      <c r="K7" s="18" t="n">
        <v>1.17696497</v>
      </c>
      <c r="L7" s="20" t="n">
        <v>0.42874004</v>
      </c>
      <c r="M7" s="18" t="n">
        <v>0</v>
      </c>
      <c r="N7" s="20" t="n">
        <v>0</v>
      </c>
      <c r="O7" s="18" t="n">
        <v>0</v>
      </c>
      <c r="P7" s="20" t="n">
        <v>0</v>
      </c>
      <c r="Q7" s="18" t="n">
        <v>13.73245046</v>
      </c>
      <c r="R7" s="20" t="n">
        <v>1.38929506</v>
      </c>
    </row>
    <row r="8" spans="1:18">
      <c r="A8" s="15" t="s">
        <v>350</v>
      </c>
      <c r="B8" s="17" t="n">
        <v>3564</v>
      </c>
      <c r="C8" s="18">
        <f>(3159.0/B8*100)</f>
        <v/>
      </c>
      <c r="D8" s="19" t="n">
        <v>405</v>
      </c>
      <c r="E8" s="18" t="n">
        <v>50.36006089</v>
      </c>
      <c r="F8" s="20" t="n">
        <v>2.84128087</v>
      </c>
      <c r="G8" s="18" t="n">
        <v>35.51704126</v>
      </c>
      <c r="H8" s="20" t="n">
        <v>2.89739816</v>
      </c>
      <c r="I8" s="18" t="s">
        <v>349</v>
      </c>
      <c r="J8" s="20" t="s">
        <v>349</v>
      </c>
      <c r="K8" s="18" t="n">
        <v>1.3253985</v>
      </c>
      <c r="L8" s="20" t="n">
        <v>0.60716128</v>
      </c>
      <c r="M8" s="18" t="n">
        <v>0</v>
      </c>
      <c r="N8" s="20" t="n">
        <v>0</v>
      </c>
      <c r="O8" s="18" t="n">
        <v>0</v>
      </c>
      <c r="P8" s="20" t="n">
        <v>0</v>
      </c>
      <c r="Q8" s="18" t="n">
        <v>12.79749935</v>
      </c>
      <c r="R8" s="20" t="n">
        <v>1.73345776</v>
      </c>
    </row>
    <row r="9" spans="1:18">
      <c r="A9" s="15" t="s">
        <v>351</v>
      </c>
      <c r="B9" s="17" t="n">
        <v>4899</v>
      </c>
      <c r="C9" s="18">
        <f>(4312.0/B9*100)</f>
        <v/>
      </c>
      <c r="D9" s="19" t="n">
        <v>587</v>
      </c>
      <c r="E9" s="18" t="n">
        <v>55.6249284</v>
      </c>
      <c r="F9" s="20" t="n">
        <v>1.96611878</v>
      </c>
      <c r="G9" s="18" t="n">
        <v>32.23526725</v>
      </c>
      <c r="H9" s="20" t="n">
        <v>1.84932403</v>
      </c>
      <c r="I9" s="18" t="s">
        <v>349</v>
      </c>
      <c r="J9" s="20" t="s">
        <v>349</v>
      </c>
      <c r="K9" s="18" t="n">
        <v>1.50454782</v>
      </c>
      <c r="L9" s="20" t="n">
        <v>0.55014027</v>
      </c>
      <c r="M9" s="18" t="n">
        <v>0</v>
      </c>
      <c r="N9" s="20" t="n">
        <v>0</v>
      </c>
      <c r="O9" s="18" t="n">
        <v>0</v>
      </c>
      <c r="P9" s="20" t="n">
        <v>0</v>
      </c>
      <c r="Q9" s="18" t="n">
        <v>10.63525653</v>
      </c>
      <c r="R9" s="20" t="n">
        <v>1.50224492</v>
      </c>
    </row>
    <row r="10" spans="1:18">
      <c r="A10" s="15" t="s">
        <v>352</v>
      </c>
      <c r="B10" s="17" t="n">
        <v>10036</v>
      </c>
      <c r="C10" s="18">
        <f>(8810.0/B10*100)</f>
        <v/>
      </c>
      <c r="D10" s="19" t="n">
        <v>1226</v>
      </c>
      <c r="E10" s="18" t="n">
        <v>63.72941621</v>
      </c>
      <c r="F10" s="20" t="n">
        <v>1.78935481</v>
      </c>
      <c r="G10" s="18" t="n">
        <v>29.61239658</v>
      </c>
      <c r="H10" s="20" t="n">
        <v>1.7007226</v>
      </c>
      <c r="I10" s="18" t="s">
        <v>349</v>
      </c>
      <c r="J10" s="20" t="s">
        <v>349</v>
      </c>
      <c r="K10" s="18" t="n">
        <v>0.90146743</v>
      </c>
      <c r="L10" s="20" t="n">
        <v>0.35314383</v>
      </c>
      <c r="M10" s="18" t="n">
        <v>0</v>
      </c>
      <c r="N10" s="20" t="n">
        <v>0</v>
      </c>
      <c r="O10" s="18" t="n">
        <v>0</v>
      </c>
      <c r="P10" s="20" t="n">
        <v>0</v>
      </c>
      <c r="Q10" s="18" t="n">
        <v>5.75671978</v>
      </c>
      <c r="R10" s="20" t="n">
        <v>1.18200896</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(3063.0/B12*100)</f>
        <v/>
      </c>
      <c r="D12" s="19" t="n">
        <v>409</v>
      </c>
      <c r="E12" s="18" t="n">
        <v>63.8928205</v>
      </c>
      <c r="F12" s="20" t="n">
        <v>2.46139308</v>
      </c>
      <c r="G12" s="18" t="n">
        <v>22.68024976</v>
      </c>
      <c r="H12" s="20" t="n">
        <v>2.44768921</v>
      </c>
      <c r="I12" s="18" t="s">
        <v>349</v>
      </c>
      <c r="J12" s="20" t="s">
        <v>349</v>
      </c>
      <c r="K12" s="18" t="n">
        <v>0.438703</v>
      </c>
      <c r="L12" s="20" t="n">
        <v>0.31753428</v>
      </c>
      <c r="M12" s="18" t="n">
        <v>0</v>
      </c>
      <c r="N12" s="20" t="n">
        <v>0</v>
      </c>
      <c r="O12" s="18" t="n">
        <v>0</v>
      </c>
      <c r="P12" s="20" t="n">
        <v>0</v>
      </c>
      <c r="Q12" s="18" t="n">
        <v>12.98822674</v>
      </c>
      <c r="R12" s="20" t="n">
        <v>1.73812377</v>
      </c>
    </row>
    <row r="13" spans="1:18">
      <c r="A13" s="15" t="s">
        <v>355</v>
      </c>
      <c r="B13" s="17" t="n">
        <v>3559</v>
      </c>
      <c r="C13" s="18">
        <f>(3139.0/B13*100)</f>
        <v/>
      </c>
      <c r="D13" s="19" t="n">
        <v>420</v>
      </c>
      <c r="E13" s="18" t="n">
        <v>69.69133674</v>
      </c>
      <c r="F13" s="20" t="n">
        <v>2.71402626</v>
      </c>
      <c r="G13" s="18" t="n">
        <v>22.63020303</v>
      </c>
      <c r="H13" s="20" t="n">
        <v>2.32643893</v>
      </c>
      <c r="I13" s="18" t="s">
        <v>349</v>
      </c>
      <c r="J13" s="20" t="s">
        <v>349</v>
      </c>
      <c r="K13" s="18" t="n">
        <v>0.12130681</v>
      </c>
      <c r="L13" s="20" t="n">
        <v>0.12279195</v>
      </c>
      <c r="M13" s="18" t="n">
        <v>0</v>
      </c>
      <c r="N13" s="20" t="n">
        <v>0</v>
      </c>
      <c r="O13" s="18" t="n">
        <v>0</v>
      </c>
      <c r="P13" s="20" t="n">
        <v>0</v>
      </c>
      <c r="Q13" s="18" t="n">
        <v>7.55715342</v>
      </c>
      <c r="R13" s="20" t="n">
        <v>1.37902056</v>
      </c>
    </row>
    <row r="14" spans="1:18">
      <c r="A14" s="15" t="s">
        <v>356</v>
      </c>
      <c r="B14" s="17" t="n">
        <v>2799</v>
      </c>
      <c r="C14" s="18">
        <f>(2421.0/B14*100)</f>
        <v/>
      </c>
      <c r="D14" s="19" t="n">
        <v>378</v>
      </c>
      <c r="E14" s="18" t="n">
        <v>64.03101129</v>
      </c>
      <c r="F14" s="20" t="n">
        <v>2.60466747</v>
      </c>
      <c r="G14" s="18" t="n">
        <v>29.44024664</v>
      </c>
      <c r="H14" s="20" t="n">
        <v>2.53607358</v>
      </c>
      <c r="I14" s="18" t="s">
        <v>349</v>
      </c>
      <c r="J14" s="20" t="s">
        <v>349</v>
      </c>
      <c r="K14" s="18" t="n">
        <v>0.405451</v>
      </c>
      <c r="L14" s="20" t="n">
        <v>0.2863735</v>
      </c>
      <c r="M14" s="18" t="n">
        <v>0</v>
      </c>
      <c r="N14" s="20" t="n">
        <v>0</v>
      </c>
      <c r="O14" s="18" t="n">
        <v>0</v>
      </c>
      <c r="P14" s="20" t="n">
        <v>0</v>
      </c>
      <c r="Q14" s="18" t="n">
        <v>6.12329107</v>
      </c>
      <c r="R14" s="20" t="n">
        <v>1.28366511</v>
      </c>
    </row>
    <row r="15" spans="1:18">
      <c r="A15" s="15" t="s">
        <v>357</v>
      </c>
      <c r="B15" s="17" t="n">
        <v>3019</v>
      </c>
      <c r="C15" s="18">
        <f>(2643.0/B15*100)</f>
        <v/>
      </c>
      <c r="D15" s="19" t="n">
        <v>376</v>
      </c>
      <c r="E15" s="18" t="n">
        <v>56.93868783</v>
      </c>
      <c r="F15" s="20" t="n">
        <v>2.60590171</v>
      </c>
      <c r="G15" s="18" t="n">
        <v>22.00760937</v>
      </c>
      <c r="H15" s="20" t="n">
        <v>1.80548324</v>
      </c>
      <c r="I15" s="18" t="s">
        <v>349</v>
      </c>
      <c r="J15" s="20" t="s">
        <v>349</v>
      </c>
      <c r="K15" s="18" t="n">
        <v>0.48177675</v>
      </c>
      <c r="L15" s="20" t="n">
        <v>0.34192197</v>
      </c>
      <c r="M15" s="18" t="n">
        <v>0</v>
      </c>
      <c r="N15" s="20" t="n">
        <v>0</v>
      </c>
      <c r="O15" s="18" t="n">
        <v>0</v>
      </c>
      <c r="P15" s="20" t="n">
        <v>0</v>
      </c>
      <c r="Q15" s="18" t="n">
        <v>20.57192605</v>
      </c>
      <c r="R15" s="20" t="n">
        <v>2.27951751</v>
      </c>
    </row>
    <row r="16" spans="1:18">
      <c r="A16" s="15" t="s">
        <v>358</v>
      </c>
      <c r="B16" s="17" t="n">
        <v>2997</v>
      </c>
      <c r="C16" s="18">
        <f>(2611.0/B16*100)</f>
        <v/>
      </c>
      <c r="D16" s="19" t="n">
        <v>386</v>
      </c>
      <c r="E16" s="18" t="n">
        <v>59.52544415</v>
      </c>
      <c r="F16" s="20" t="n">
        <v>2.48700223</v>
      </c>
      <c r="G16" s="18" t="n">
        <v>20.77027108</v>
      </c>
      <c r="H16" s="20" t="n">
        <v>1.99193514</v>
      </c>
      <c r="I16" s="18" t="s">
        <v>349</v>
      </c>
      <c r="J16" s="20" t="s">
        <v>349</v>
      </c>
      <c r="K16" s="18" t="n">
        <v>2.2891959</v>
      </c>
      <c r="L16" s="20" t="n">
        <v>0.82787823</v>
      </c>
      <c r="M16" s="18" t="n">
        <v>0</v>
      </c>
      <c r="N16" s="20" t="n">
        <v>0</v>
      </c>
      <c r="O16" s="18" t="n">
        <v>0</v>
      </c>
      <c r="P16" s="20" t="n">
        <v>0</v>
      </c>
      <c r="Q16" s="18" t="n">
        <v>17.41508888</v>
      </c>
      <c r="R16" s="20" t="n">
        <v>1.76919731</v>
      </c>
    </row>
    <row r="17" spans="1:18">
      <c r="A17" s="15" t="s">
        <v>359</v>
      </c>
      <c r="B17" s="17" t="n">
        <v>3307</v>
      </c>
      <c r="C17" s="18">
        <f>(2914.0/B17*100)</f>
        <v/>
      </c>
      <c r="D17" s="19" t="n">
        <v>393</v>
      </c>
      <c r="E17" s="18" t="n">
        <v>48.80955021</v>
      </c>
      <c r="F17" s="20" t="n">
        <v>2.38123438</v>
      </c>
      <c r="G17" s="18" t="n">
        <v>36.8717575</v>
      </c>
      <c r="H17" s="20" t="n">
        <v>2.56497812</v>
      </c>
      <c r="I17" s="18" t="s">
        <v>349</v>
      </c>
      <c r="J17" s="20" t="s">
        <v>349</v>
      </c>
      <c r="K17" s="18" t="n">
        <v>0.74710192</v>
      </c>
      <c r="L17" s="20" t="n">
        <v>0.38435376</v>
      </c>
      <c r="M17" s="18" t="n">
        <v>0</v>
      </c>
      <c r="N17" s="20" t="n">
        <v>0</v>
      </c>
      <c r="O17" s="18" t="n">
        <v>0</v>
      </c>
      <c r="P17" s="20" t="n">
        <v>0</v>
      </c>
      <c r="Q17" s="18" t="n">
        <v>13.57159037</v>
      </c>
      <c r="R17" s="20" t="n">
        <v>1.88772618</v>
      </c>
    </row>
    <row r="18" spans="1:18">
      <c r="A18" s="15" t="s">
        <v>360</v>
      </c>
      <c r="B18" s="17" t="n">
        <v>2826</v>
      </c>
      <c r="C18" s="18">
        <f>(2453.0/B18*100)</f>
        <v/>
      </c>
      <c r="D18" s="19" t="n">
        <v>373</v>
      </c>
      <c r="E18" s="18" t="n">
        <v>71.92799171999999</v>
      </c>
      <c r="F18" s="20" t="n">
        <v>2.70664236</v>
      </c>
      <c r="G18" s="18" t="n">
        <v>7.09482011</v>
      </c>
      <c r="H18" s="20" t="n">
        <v>1.42506754</v>
      </c>
      <c r="I18" s="18" t="s">
        <v>349</v>
      </c>
      <c r="J18" s="20" t="s">
        <v>349</v>
      </c>
      <c r="K18" s="18" t="n">
        <v>1.37033636</v>
      </c>
      <c r="L18" s="20" t="n">
        <v>0.68567407</v>
      </c>
      <c r="M18" s="18" t="n">
        <v>0</v>
      </c>
      <c r="N18" s="20" t="n">
        <v>0</v>
      </c>
      <c r="O18" s="18" t="n">
        <v>0</v>
      </c>
      <c r="P18" s="20" t="n">
        <v>0</v>
      </c>
      <c r="Q18" s="18" t="n">
        <v>19.60685181</v>
      </c>
      <c r="R18" s="20" t="n">
        <v>2.33016453</v>
      </c>
    </row>
    <row r="19" spans="1:18">
      <c r="A19" s="15" t="s">
        <v>361</v>
      </c>
      <c r="B19" s="17" t="n">
        <v>2808</v>
      </c>
      <c r="C19" s="18">
        <f>(2480.0/B19*100)</f>
        <v/>
      </c>
      <c r="D19" s="19" t="n">
        <v>328</v>
      </c>
      <c r="E19" s="18" t="n">
        <v>68.67087769</v>
      </c>
      <c r="F19" s="20" t="n">
        <v>2.56593257</v>
      </c>
      <c r="G19" s="18" t="n">
        <v>15.05123751</v>
      </c>
      <c r="H19" s="20" t="n">
        <v>2.06810527</v>
      </c>
      <c r="I19" s="18" t="s">
        <v>349</v>
      </c>
      <c r="J19" s="20" t="s">
        <v>349</v>
      </c>
      <c r="K19" s="18" t="n">
        <v>0</v>
      </c>
      <c r="L19" s="20" t="n">
        <v>0</v>
      </c>
      <c r="M19" s="18" t="n">
        <v>0</v>
      </c>
      <c r="N19" s="20" t="n">
        <v>0</v>
      </c>
      <c r="O19" s="18" t="n">
        <v>0</v>
      </c>
      <c r="P19" s="20" t="n">
        <v>0</v>
      </c>
      <c r="Q19" s="18" t="n">
        <v>16.2778848</v>
      </c>
      <c r="R19" s="20" t="n">
        <v>2.26707968</v>
      </c>
    </row>
    <row r="20" spans="1:18">
      <c r="A20" s="15" t="s">
        <v>362</v>
      </c>
      <c r="B20" s="17" t="n">
        <v>1630</v>
      </c>
      <c r="C20" s="18">
        <f>(1430.0/B20*100)</f>
        <v/>
      </c>
      <c r="D20" s="19" t="n">
        <v>200</v>
      </c>
      <c r="E20" s="18" t="n">
        <v>63.34273271</v>
      </c>
      <c r="F20" s="20" t="n">
        <v>3.68768316</v>
      </c>
      <c r="G20" s="18" t="n">
        <v>19.60759744</v>
      </c>
      <c r="H20" s="20" t="n">
        <v>2.79557375</v>
      </c>
      <c r="I20" s="18" t="s">
        <v>349</v>
      </c>
      <c r="J20" s="20" t="s">
        <v>349</v>
      </c>
      <c r="K20" s="18" t="n">
        <v>3.31513772</v>
      </c>
      <c r="L20" s="20" t="n">
        <v>1.23189735</v>
      </c>
      <c r="M20" s="18" t="n">
        <v>0</v>
      </c>
      <c r="N20" s="20" t="n">
        <v>0</v>
      </c>
      <c r="O20" s="18" t="n">
        <v>0</v>
      </c>
      <c r="P20" s="20" t="n">
        <v>0</v>
      </c>
      <c r="Q20" s="18" t="n">
        <v>13.73453213</v>
      </c>
      <c r="R20" s="20" t="n">
        <v>2.55748845</v>
      </c>
    </row>
    <row r="21" spans="1:18">
      <c r="A21" s="15" t="s">
        <v>363</v>
      </c>
      <c r="B21" s="17" t="n">
        <v>2908</v>
      </c>
      <c r="C21" s="18">
        <f>(2421.0/B21*100)</f>
        <v/>
      </c>
      <c r="D21" s="19" t="n">
        <v>487</v>
      </c>
      <c r="E21" s="18" t="n">
        <v>57.60286496</v>
      </c>
      <c r="F21" s="20" t="n">
        <v>2.35256666</v>
      </c>
      <c r="G21" s="18" t="n">
        <v>30.86552429</v>
      </c>
      <c r="H21" s="20" t="n">
        <v>2.21434674</v>
      </c>
      <c r="I21" s="18" t="s">
        <v>349</v>
      </c>
      <c r="J21" s="20" t="s">
        <v>349</v>
      </c>
      <c r="K21" s="18" t="n">
        <v>1.2627907</v>
      </c>
      <c r="L21" s="20" t="n">
        <v>0.58516747</v>
      </c>
      <c r="M21" s="18" t="n">
        <v>0</v>
      </c>
      <c r="N21" s="20" t="n">
        <v>0</v>
      </c>
      <c r="O21" s="18" t="n">
        <v>0</v>
      </c>
      <c r="P21" s="20" t="n">
        <v>0</v>
      </c>
      <c r="Q21" s="18" t="n">
        <v>10.26882005</v>
      </c>
      <c r="R21" s="20" t="n">
        <v>1.25598889</v>
      </c>
    </row>
    <row r="22" spans="1:18">
      <c r="A22" s="15" t="s">
        <v>364</v>
      </c>
      <c r="B22" s="17" t="n">
        <v>2931</v>
      </c>
      <c r="C22" s="18">
        <f>(2569.0/B22*100)</f>
        <v/>
      </c>
      <c r="D22" s="19" t="n">
        <v>362</v>
      </c>
      <c r="E22" s="18" t="n">
        <v>66.36764516</v>
      </c>
      <c r="F22" s="20" t="n">
        <v>2.50056262</v>
      </c>
      <c r="G22" s="18" t="n">
        <v>15.22226296</v>
      </c>
      <c r="H22" s="20" t="n">
        <v>1.68020495</v>
      </c>
      <c r="I22" s="18" t="s">
        <v>349</v>
      </c>
      <c r="J22" s="20" t="s">
        <v>349</v>
      </c>
      <c r="K22" s="18" t="n">
        <v>1.67857627</v>
      </c>
      <c r="L22" s="20" t="n">
        <v>0.6575443</v>
      </c>
      <c r="M22" s="18" t="n">
        <v>0</v>
      </c>
      <c r="N22" s="20" t="n">
        <v>0</v>
      </c>
      <c r="O22" s="18" t="n">
        <v>0</v>
      </c>
      <c r="P22" s="20" t="n">
        <v>0</v>
      </c>
      <c r="Q22" s="18" t="n">
        <v>16.73151561</v>
      </c>
      <c r="R22" s="20" t="n">
        <v>1.88575262</v>
      </c>
    </row>
    <row r="23" spans="1:18">
      <c r="A23" s="15" t="s">
        <v>365</v>
      </c>
      <c r="B23" s="17" t="n">
        <v>5791</v>
      </c>
      <c r="C23" s="18">
        <f>(5094.0/B23*100)</f>
        <v/>
      </c>
      <c r="D23" s="19" t="n">
        <v>697</v>
      </c>
      <c r="E23" s="18" t="n">
        <v>63.44338029</v>
      </c>
      <c r="F23" s="20" t="n">
        <v>2.45631794</v>
      </c>
      <c r="G23" s="18" t="n">
        <v>18.06889384</v>
      </c>
      <c r="H23" s="20" t="n">
        <v>2.00199936</v>
      </c>
      <c r="I23" s="18" t="s">
        <v>349</v>
      </c>
      <c r="J23" s="20" t="s">
        <v>349</v>
      </c>
      <c r="K23" s="18" t="n">
        <v>1.47325895</v>
      </c>
      <c r="L23" s="20" t="n">
        <v>0.60490288</v>
      </c>
      <c r="M23" s="18" t="n">
        <v>0</v>
      </c>
      <c r="N23" s="20" t="n">
        <v>0</v>
      </c>
      <c r="O23" s="18" t="n">
        <v>0</v>
      </c>
      <c r="P23" s="20" t="n">
        <v>0</v>
      </c>
      <c r="Q23" s="18" t="n">
        <v>17.01446693</v>
      </c>
      <c r="R23" s="20" t="n">
        <v>2.05559886</v>
      </c>
    </row>
    <row r="24" spans="1:18">
      <c r="A24" s="15" t="s">
        <v>366</v>
      </c>
      <c r="B24" s="17" t="n">
        <v>3338</v>
      </c>
      <c r="C24" s="18">
        <f>(2916.0/B24*100)</f>
        <v/>
      </c>
      <c r="D24" s="19" t="n">
        <v>422</v>
      </c>
      <c r="E24" s="18" t="n">
        <v>52.95938957</v>
      </c>
      <c r="F24" s="20" t="n">
        <v>2.72056342</v>
      </c>
      <c r="G24" s="18" t="n">
        <v>28.45079916</v>
      </c>
      <c r="H24" s="20" t="n">
        <v>2.11660095</v>
      </c>
      <c r="I24" s="18" t="s">
        <v>349</v>
      </c>
      <c r="J24" s="20" t="s">
        <v>349</v>
      </c>
      <c r="K24" s="18" t="n">
        <v>0.8153756599999999</v>
      </c>
      <c r="L24" s="20" t="n">
        <v>0.41989139</v>
      </c>
      <c r="M24" s="18" t="n">
        <v>0</v>
      </c>
      <c r="N24" s="20" t="n">
        <v>0</v>
      </c>
      <c r="O24" s="18" t="n">
        <v>0</v>
      </c>
      <c r="P24" s="20" t="n">
        <v>0</v>
      </c>
      <c r="Q24" s="18" t="n">
        <v>17.77443561</v>
      </c>
      <c r="R24" s="20" t="n">
        <v>1.92968076</v>
      </c>
    </row>
    <row r="25" spans="1:18">
      <c r="A25" s="15" t="s">
        <v>367</v>
      </c>
      <c r="B25" s="17" t="n">
        <v>2912</v>
      </c>
      <c r="C25" s="18">
        <f>(2542.0/B25*100)</f>
        <v/>
      </c>
      <c r="D25" s="19" t="n">
        <v>370</v>
      </c>
      <c r="E25" s="18" t="n">
        <v>57.50711216</v>
      </c>
      <c r="F25" s="20" t="n">
        <v>2.47973088</v>
      </c>
      <c r="G25" s="18" t="n">
        <v>25.17845765</v>
      </c>
      <c r="H25" s="20" t="n">
        <v>2.41805111</v>
      </c>
      <c r="I25" s="18" t="s">
        <v>349</v>
      </c>
      <c r="J25" s="20" t="s">
        <v>349</v>
      </c>
      <c r="K25" s="18" t="n">
        <v>0.54017857</v>
      </c>
      <c r="L25" s="20" t="n">
        <v>0.38301407</v>
      </c>
      <c r="M25" s="18" t="n">
        <v>0</v>
      </c>
      <c r="N25" s="20" t="n">
        <v>0</v>
      </c>
      <c r="O25" s="18" t="n">
        <v>0</v>
      </c>
      <c r="P25" s="20" t="n">
        <v>0</v>
      </c>
      <c r="Q25" s="18" t="n">
        <v>16.77425163</v>
      </c>
      <c r="R25" s="20" t="n">
        <v>2.27614098</v>
      </c>
    </row>
    <row r="26" spans="1:18">
      <c r="A26" s="15" t="s">
        <v>368</v>
      </c>
      <c r="B26" s="17" t="n">
        <v>2450</v>
      </c>
      <c r="C26" s="18">
        <f>(2163.0/B26*100)</f>
        <v/>
      </c>
      <c r="D26" s="19" t="n">
        <v>287</v>
      </c>
      <c r="E26" s="18" t="n">
        <v>67.99729597</v>
      </c>
      <c r="F26" s="20" t="n">
        <v>2.97235672</v>
      </c>
      <c r="G26" s="18" t="n">
        <v>20.08798617</v>
      </c>
      <c r="H26" s="20" t="n">
        <v>2.23496005</v>
      </c>
      <c r="I26" s="18" t="s">
        <v>349</v>
      </c>
      <c r="J26" s="20" t="s">
        <v>349</v>
      </c>
      <c r="K26" s="18" t="n">
        <v>0.30104782</v>
      </c>
      <c r="L26" s="20" t="n">
        <v>0.2835197</v>
      </c>
      <c r="M26" s="18" t="n">
        <v>0</v>
      </c>
      <c r="N26" s="20" t="n">
        <v>0</v>
      </c>
      <c r="O26" s="18" t="n">
        <v>0</v>
      </c>
      <c r="P26" s="20" t="n">
        <v>0</v>
      </c>
      <c r="Q26" s="18" t="n">
        <v>11.61367004</v>
      </c>
      <c r="R26" s="20" t="n">
        <v>2.28648808</v>
      </c>
    </row>
    <row r="27" spans="1:18">
      <c r="A27" s="15" t="s">
        <v>369</v>
      </c>
      <c r="B27" s="17" t="n">
        <v>2616</v>
      </c>
      <c r="C27" s="18">
        <f>(2292.0/B27*100)</f>
        <v/>
      </c>
      <c r="D27" s="19" t="n">
        <v>324</v>
      </c>
      <c r="E27" s="18" t="n">
        <v>54.78728994</v>
      </c>
      <c r="F27" s="20" t="n">
        <v>2.47496439</v>
      </c>
      <c r="G27" s="18" t="n">
        <v>28.81583689</v>
      </c>
      <c r="H27" s="20" t="n">
        <v>2.31641241</v>
      </c>
      <c r="I27" s="18" t="s">
        <v>349</v>
      </c>
      <c r="J27" s="20" t="s">
        <v>349</v>
      </c>
      <c r="K27" s="18" t="n">
        <v>0.93860263</v>
      </c>
      <c r="L27" s="20" t="n">
        <v>0.53534367</v>
      </c>
      <c r="M27" s="18" t="n">
        <v>0</v>
      </c>
      <c r="N27" s="20" t="n">
        <v>0</v>
      </c>
      <c r="O27" s="18" t="n">
        <v>0</v>
      </c>
      <c r="P27" s="20" t="n">
        <v>0</v>
      </c>
      <c r="Q27" s="18" t="n">
        <v>15.45827054</v>
      </c>
      <c r="R27" s="20" t="n">
        <v>1.8209871</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62.50712458</v>
      </c>
      <c r="F29" s="20" t="n">
        <v>2.64027578</v>
      </c>
      <c r="G29" s="18" t="n">
        <v>25.03665659</v>
      </c>
      <c r="H29" s="20" t="n">
        <v>2.25258618</v>
      </c>
      <c r="I29" s="18" t="s">
        <v>349</v>
      </c>
      <c r="J29" s="20" t="s">
        <v>349</v>
      </c>
      <c r="K29" s="18" t="n">
        <v>0.5842277299999999</v>
      </c>
      <c r="L29" s="20" t="n">
        <v>0.4258426</v>
      </c>
      <c r="M29" s="18" t="n">
        <v>0</v>
      </c>
      <c r="N29" s="20" t="n">
        <v>0</v>
      </c>
      <c r="O29" s="18" t="n">
        <v>0</v>
      </c>
      <c r="P29" s="20" t="n">
        <v>0</v>
      </c>
      <c r="Q29" s="18" t="n">
        <v>11.8719911</v>
      </c>
      <c r="R29" s="20" t="n">
        <v>1.87182329</v>
      </c>
    </row>
    <row r="30" spans="1:18">
      <c r="A30" s="15" t="s">
        <v>372</v>
      </c>
      <c r="B30" s="17" t="n">
        <v>2263</v>
      </c>
      <c r="C30" s="18">
        <f>(2010.0/B30*100)</f>
        <v/>
      </c>
      <c r="D30" s="19" t="n">
        <v>253</v>
      </c>
      <c r="E30" s="18" t="n">
        <v>60.35234604</v>
      </c>
      <c r="F30" s="20" t="n">
        <v>3.37695715</v>
      </c>
      <c r="G30" s="18" t="n">
        <v>26.17970413</v>
      </c>
      <c r="H30" s="20" t="n">
        <v>2.98268487</v>
      </c>
      <c r="I30" s="18" t="s">
        <v>349</v>
      </c>
      <c r="J30" s="20" t="s">
        <v>349</v>
      </c>
      <c r="K30" s="18" t="n">
        <v>1.00416955</v>
      </c>
      <c r="L30" s="20" t="n">
        <v>0.5082845499999999</v>
      </c>
      <c r="M30" s="18" t="n">
        <v>0</v>
      </c>
      <c r="N30" s="20" t="n">
        <v>0</v>
      </c>
      <c r="O30" s="18" t="n">
        <v>0</v>
      </c>
      <c r="P30" s="20" t="n">
        <v>0</v>
      </c>
      <c r="Q30" s="18" t="n">
        <v>12.46378028</v>
      </c>
      <c r="R30" s="20" t="n">
        <v>2.19388543</v>
      </c>
    </row>
    <row r="31" spans="1:18">
      <c r="A31" s="15" t="s">
        <v>373</v>
      </c>
      <c r="B31" s="17" t="n">
        <v>2750</v>
      </c>
      <c r="C31" s="18">
        <f>(2395.0/B31*100)</f>
        <v/>
      </c>
      <c r="D31" s="19" t="n">
        <v>355</v>
      </c>
      <c r="E31" s="18" t="n">
        <v>58.73598601</v>
      </c>
      <c r="F31" s="20" t="n">
        <v>2.51141566</v>
      </c>
      <c r="G31" s="18" t="n">
        <v>21.02677448</v>
      </c>
      <c r="H31" s="20" t="n">
        <v>1.97903993</v>
      </c>
      <c r="I31" s="18" t="s">
        <v>349</v>
      </c>
      <c r="J31" s="20" t="s">
        <v>349</v>
      </c>
      <c r="K31" s="18" t="n">
        <v>1.64948087</v>
      </c>
      <c r="L31" s="20" t="n">
        <v>0.67938382</v>
      </c>
      <c r="M31" s="18" t="n">
        <v>0</v>
      </c>
      <c r="N31" s="20" t="n">
        <v>0</v>
      </c>
      <c r="O31" s="18" t="n">
        <v>0</v>
      </c>
      <c r="P31" s="20" t="n">
        <v>0</v>
      </c>
      <c r="Q31" s="18" t="n">
        <v>18.58775864</v>
      </c>
      <c r="R31" s="20" t="n">
        <v>2.09517477</v>
      </c>
    </row>
    <row r="32" spans="1:18">
      <c r="A32" s="15" t="s">
        <v>374</v>
      </c>
      <c r="B32" s="17" t="n">
        <v>2269</v>
      </c>
      <c r="C32" s="18">
        <f>(1893.0/B32*100)</f>
        <v/>
      </c>
      <c r="D32" s="19" t="n">
        <v>376</v>
      </c>
      <c r="E32" s="18" t="n">
        <v>67.2318392</v>
      </c>
      <c r="F32" s="20" t="n">
        <v>2.65511875</v>
      </c>
      <c r="G32" s="18" t="n">
        <v>20.79364592</v>
      </c>
      <c r="H32" s="20" t="n">
        <v>2.4403835</v>
      </c>
      <c r="I32" s="18" t="s">
        <v>349</v>
      </c>
      <c r="J32" s="20" t="s">
        <v>349</v>
      </c>
      <c r="K32" s="18" t="n">
        <v>0.7572560699999999</v>
      </c>
      <c r="L32" s="20" t="n">
        <v>0.41581577</v>
      </c>
      <c r="M32" s="18" t="n">
        <v>0</v>
      </c>
      <c r="N32" s="20" t="n">
        <v>0</v>
      </c>
      <c r="O32" s="18" t="n">
        <v>0</v>
      </c>
      <c r="P32" s="20" t="n">
        <v>0</v>
      </c>
      <c r="Q32" s="18" t="n">
        <v>11.21725881</v>
      </c>
      <c r="R32" s="20" t="n">
        <v>1.53731314</v>
      </c>
    </row>
    <row r="33" spans="1:18">
      <c r="A33" s="15" t="s">
        <v>375</v>
      </c>
      <c r="B33" s="17" t="n">
        <v>3674</v>
      </c>
      <c r="C33" s="18">
        <f>(3239.0/B33*100)</f>
        <v/>
      </c>
      <c r="D33" s="19" t="n">
        <v>435</v>
      </c>
      <c r="E33" s="18" t="n">
        <v>57.76990165</v>
      </c>
      <c r="F33" s="20" t="n">
        <v>2.84716765</v>
      </c>
      <c r="G33" s="18" t="n">
        <v>28.17551786</v>
      </c>
      <c r="H33" s="20" t="n">
        <v>3.09338998</v>
      </c>
      <c r="I33" s="18" t="s">
        <v>349</v>
      </c>
      <c r="J33" s="20" t="s">
        <v>349</v>
      </c>
      <c r="K33" s="18" t="n">
        <v>1.0904036</v>
      </c>
      <c r="L33" s="20" t="n">
        <v>0.6108921</v>
      </c>
      <c r="M33" s="18" t="n">
        <v>0</v>
      </c>
      <c r="N33" s="20" t="n">
        <v>0</v>
      </c>
      <c r="O33" s="18" t="n">
        <v>0</v>
      </c>
      <c r="P33" s="20" t="n">
        <v>0</v>
      </c>
      <c r="Q33" s="18" t="n">
        <v>12.96417689</v>
      </c>
      <c r="R33" s="20" t="n">
        <v>2.11982425</v>
      </c>
    </row>
    <row r="34" spans="1:18">
      <c r="A34" s="15" t="s">
        <v>376</v>
      </c>
      <c r="B34" s="17" t="n">
        <v>3315</v>
      </c>
      <c r="C34" s="18">
        <f>(2941.0/B34*100)</f>
        <v/>
      </c>
      <c r="D34" s="19" t="n">
        <v>374</v>
      </c>
      <c r="E34" s="18" t="n">
        <v>66.03411421</v>
      </c>
      <c r="F34" s="20" t="n">
        <v>3.02194671</v>
      </c>
      <c r="G34" s="18" t="n">
        <v>26.18135432</v>
      </c>
      <c r="H34" s="20" t="n">
        <v>2.92976978</v>
      </c>
      <c r="I34" s="18" t="s">
        <v>349</v>
      </c>
      <c r="J34" s="20" t="s">
        <v>349</v>
      </c>
      <c r="K34" s="18" t="n">
        <v>0.21492989</v>
      </c>
      <c r="L34" s="20" t="n">
        <v>0.21338507</v>
      </c>
      <c r="M34" s="18" t="n">
        <v>0</v>
      </c>
      <c r="N34" s="20" t="n">
        <v>0</v>
      </c>
      <c r="O34" s="18" t="n">
        <v>0</v>
      </c>
      <c r="P34" s="20" t="n">
        <v>0</v>
      </c>
      <c r="Q34" s="18" t="n">
        <v>7.56960158</v>
      </c>
      <c r="R34" s="20" t="n">
        <v>1.35371727</v>
      </c>
    </row>
    <row r="35" spans="1:18">
      <c r="A35" s="15" t="s">
        <v>377</v>
      </c>
      <c r="B35" s="17" t="n">
        <v>3505</v>
      </c>
      <c r="C35" s="18">
        <f>(3075.0/B35*100)</f>
        <v/>
      </c>
      <c r="D35" s="19" t="n">
        <v>430</v>
      </c>
      <c r="E35" s="18" t="n">
        <v>57.5396781</v>
      </c>
      <c r="F35" s="20" t="n">
        <v>2.65028806</v>
      </c>
      <c r="G35" s="18" t="n">
        <v>30.70158934</v>
      </c>
      <c r="H35" s="20" t="n">
        <v>2.56868449</v>
      </c>
      <c r="I35" s="18" t="s">
        <v>349</v>
      </c>
      <c r="J35" s="20" t="s">
        <v>349</v>
      </c>
      <c r="K35" s="18" t="n">
        <v>0.65024114</v>
      </c>
      <c r="L35" s="20" t="n">
        <v>0.31647447</v>
      </c>
      <c r="M35" s="18" t="n">
        <v>0</v>
      </c>
      <c r="N35" s="20" t="n">
        <v>0</v>
      </c>
      <c r="O35" s="18" t="n">
        <v>0</v>
      </c>
      <c r="P35" s="20" t="n">
        <v>0</v>
      </c>
      <c r="Q35" s="18" t="n">
        <v>11.10849142</v>
      </c>
      <c r="R35" s="20" t="n">
        <v>1.54951941</v>
      </c>
    </row>
    <row r="36" spans="1:18">
      <c r="A36" s="15" t="s">
        <v>378</v>
      </c>
      <c r="B36" s="17" t="n">
        <v>3332</v>
      </c>
      <c r="C36" s="18">
        <f>(2927.0/B36*100)</f>
        <v/>
      </c>
      <c r="D36" s="19" t="n">
        <v>405</v>
      </c>
      <c r="E36" s="18" t="n">
        <v>65.99057091</v>
      </c>
      <c r="F36" s="20" t="n">
        <v>2.80552875</v>
      </c>
      <c r="G36" s="18" t="n">
        <v>18.81039169</v>
      </c>
      <c r="H36" s="20" t="n">
        <v>2.20557005</v>
      </c>
      <c r="I36" s="18" t="s">
        <v>349</v>
      </c>
      <c r="J36" s="20" t="s">
        <v>349</v>
      </c>
      <c r="K36" s="18" t="n">
        <v>1.03627599</v>
      </c>
      <c r="L36" s="20" t="n">
        <v>0.47962987</v>
      </c>
      <c r="M36" s="18" t="n">
        <v>0</v>
      </c>
      <c r="N36" s="20" t="n">
        <v>0</v>
      </c>
      <c r="O36" s="18" t="n">
        <v>0</v>
      </c>
      <c r="P36" s="20" t="n">
        <v>0</v>
      </c>
      <c r="Q36" s="18" t="n">
        <v>14.16276142</v>
      </c>
      <c r="R36" s="20" t="n">
        <v>1.92451965</v>
      </c>
    </row>
    <row r="37" spans="1:18">
      <c r="A37" s="15" t="s">
        <v>379</v>
      </c>
      <c r="B37" s="17" t="n">
        <v>2727</v>
      </c>
      <c r="C37" s="18">
        <f>(2403.0/B37*100)</f>
        <v/>
      </c>
      <c r="D37" s="19" t="n">
        <v>324</v>
      </c>
      <c r="E37" s="18" t="n">
        <v>59.54959009</v>
      </c>
      <c r="F37" s="20" t="n">
        <v>2.9326747</v>
      </c>
      <c r="G37" s="18" t="n">
        <v>15.88591646</v>
      </c>
      <c r="H37" s="20" t="n">
        <v>2.08346082</v>
      </c>
      <c r="I37" s="18" t="s">
        <v>349</v>
      </c>
      <c r="J37" s="20" t="s">
        <v>349</v>
      </c>
      <c r="K37" s="18" t="n">
        <v>3.79415702</v>
      </c>
      <c r="L37" s="20" t="n">
        <v>1.18231867</v>
      </c>
      <c r="M37" s="18" t="n">
        <v>0</v>
      </c>
      <c r="N37" s="20" t="n">
        <v>0</v>
      </c>
      <c r="O37" s="18" t="n">
        <v>0</v>
      </c>
      <c r="P37" s="20" t="n">
        <v>0</v>
      </c>
      <c r="Q37" s="18" t="n">
        <v>20.77033643</v>
      </c>
      <c r="R37" s="20" t="n">
        <v>2.50789178</v>
      </c>
    </row>
    <row r="38" spans="1:18">
      <c r="A38" s="15" t="s">
        <v>380</v>
      </c>
      <c r="B38" s="17" t="n">
        <v>3053</v>
      </c>
      <c r="C38" s="18">
        <f>(2551.0/B38*100)</f>
        <v/>
      </c>
      <c r="D38" s="19" t="n">
        <v>502</v>
      </c>
      <c r="E38" s="18" t="n">
        <v>53.5882521</v>
      </c>
      <c r="F38" s="20" t="n">
        <v>2.66793173</v>
      </c>
      <c r="G38" s="18" t="n">
        <v>32.44625125</v>
      </c>
      <c r="H38" s="20" t="n">
        <v>2.62387963</v>
      </c>
      <c r="I38" s="18" t="s">
        <v>349</v>
      </c>
      <c r="J38" s="20" t="s">
        <v>349</v>
      </c>
      <c r="K38" s="18" t="n">
        <v>1.40768478</v>
      </c>
      <c r="L38" s="20" t="n">
        <v>0.53959644</v>
      </c>
      <c r="M38" s="18" t="n">
        <v>0</v>
      </c>
      <c r="N38" s="20" t="n">
        <v>0</v>
      </c>
      <c r="O38" s="18" t="n">
        <v>0</v>
      </c>
      <c r="P38" s="20" t="n">
        <v>0</v>
      </c>
      <c r="Q38" s="18" t="n">
        <v>12.55781187</v>
      </c>
      <c r="R38" s="20" t="n">
        <v>1.79721162</v>
      </c>
    </row>
    <row r="39" spans="1:18">
      <c r="A39" s="15" t="s">
        <v>381</v>
      </c>
      <c r="B39" s="17" t="n">
        <v>2957</v>
      </c>
      <c r="C39" s="18">
        <f>(2581.0/B39*100)</f>
        <v/>
      </c>
      <c r="D39" s="19" t="n">
        <v>376</v>
      </c>
      <c r="E39" s="18" t="n">
        <v>78.56722311999999</v>
      </c>
      <c r="F39" s="20" t="n">
        <v>2.37298084</v>
      </c>
      <c r="G39" s="18" t="n">
        <v>3.86510929</v>
      </c>
      <c r="H39" s="20" t="n">
        <v>1.20135864</v>
      </c>
      <c r="I39" s="18" t="s">
        <v>349</v>
      </c>
      <c r="J39" s="20" t="s">
        <v>349</v>
      </c>
      <c r="K39" s="18" t="n">
        <v>0.76995324</v>
      </c>
      <c r="L39" s="20" t="n">
        <v>0.4705309</v>
      </c>
      <c r="M39" s="18" t="n">
        <v>0</v>
      </c>
      <c r="N39" s="20" t="n">
        <v>0</v>
      </c>
      <c r="O39" s="18" t="n">
        <v>0</v>
      </c>
      <c r="P39" s="20" t="n">
        <v>0</v>
      </c>
      <c r="Q39" s="18" t="n">
        <v>16.79771435</v>
      </c>
      <c r="R39" s="20" t="n">
        <v>2.2307563</v>
      </c>
    </row>
    <row r="40" spans="1:18">
      <c r="A40" s="15" t="s">
        <v>382</v>
      </c>
      <c r="B40" s="17" t="n">
        <v>7235</v>
      </c>
      <c r="C40" s="18">
        <f>(6369.0/B40*100)</f>
        <v/>
      </c>
      <c r="D40" s="19" t="n">
        <v>866</v>
      </c>
      <c r="E40" s="18" t="n">
        <v>54.17237837</v>
      </c>
      <c r="F40" s="20" t="n">
        <v>2.77705325</v>
      </c>
      <c r="G40" s="18" t="n">
        <v>29.77595102</v>
      </c>
      <c r="H40" s="20" t="n">
        <v>2.28907873</v>
      </c>
      <c r="I40" s="18" t="s">
        <v>349</v>
      </c>
      <c r="J40" s="20" t="s">
        <v>349</v>
      </c>
      <c r="K40" s="18" t="n">
        <v>0.65555462</v>
      </c>
      <c r="L40" s="20" t="n">
        <v>0.31376762</v>
      </c>
      <c r="M40" s="18" t="n">
        <v>0</v>
      </c>
      <c r="N40" s="20" t="n">
        <v>0</v>
      </c>
      <c r="O40" s="18" t="n">
        <v>0</v>
      </c>
      <c r="P40" s="20" t="n">
        <v>0</v>
      </c>
      <c r="Q40" s="18" t="n">
        <v>15.39611598</v>
      </c>
      <c r="R40" s="20" t="n">
        <v>1.86517248</v>
      </c>
    </row>
    <row r="41" spans="1:18">
      <c r="A41" s="15" t="s">
        <v>383</v>
      </c>
      <c r="B41" s="17" t="n">
        <v>2858</v>
      </c>
      <c r="C41" s="18">
        <f>(2534.0/B41*100)</f>
        <v/>
      </c>
      <c r="D41" s="19" t="n">
        <v>324</v>
      </c>
      <c r="E41" s="18" t="n">
        <v>70.30820953999999</v>
      </c>
      <c r="F41" s="20" t="n">
        <v>2.94491677</v>
      </c>
      <c r="G41" s="18" t="n">
        <v>24.44222781</v>
      </c>
      <c r="H41" s="20" t="n">
        <v>2.72959885</v>
      </c>
      <c r="I41" s="18" t="s">
        <v>349</v>
      </c>
      <c r="J41" s="20" t="s">
        <v>349</v>
      </c>
      <c r="K41" s="18" t="n">
        <v>0</v>
      </c>
      <c r="L41" s="20" t="n">
        <v>0</v>
      </c>
      <c r="M41" s="18" t="n">
        <v>0</v>
      </c>
      <c r="N41" s="20" t="n">
        <v>0</v>
      </c>
      <c r="O41" s="18" t="n">
        <v>0</v>
      </c>
      <c r="P41" s="20" t="n">
        <v>0</v>
      </c>
      <c r="Q41" s="18" t="n">
        <v>5.24956265</v>
      </c>
      <c r="R41" s="20" t="n">
        <v>1.33269554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(4509.0/B48*100)</f>
        <v/>
      </c>
      <c r="D48" s="19" t="n">
        <v>650</v>
      </c>
      <c r="E48" s="18" t="n">
        <v>66.69223149</v>
      </c>
      <c r="F48" s="20" t="n">
        <v>2.70668529</v>
      </c>
      <c r="G48" s="18" t="n">
        <v>29.21846788</v>
      </c>
      <c r="H48" s="20" t="n">
        <v>2.99446239</v>
      </c>
      <c r="I48" s="18" t="s">
        <v>349</v>
      </c>
      <c r="J48" s="20" t="s">
        <v>349</v>
      </c>
      <c r="K48" s="18" t="n">
        <v>0.21930865</v>
      </c>
      <c r="L48" s="20" t="n">
        <v>0.20771392</v>
      </c>
      <c r="M48" s="18" t="n">
        <v>0</v>
      </c>
      <c r="N48" s="20" t="n">
        <v>0</v>
      </c>
      <c r="O48" s="18" t="n">
        <v>0</v>
      </c>
      <c r="P48" s="20" t="n">
        <v>0</v>
      </c>
      <c r="Q48" s="18" t="n">
        <v>3.86999198</v>
      </c>
      <c r="R48" s="20" t="n">
        <v>0.89248486</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(2465.0/B52*100)</f>
        <v/>
      </c>
      <c r="D52" s="19" t="n">
        <v>331</v>
      </c>
      <c r="E52" s="18" t="n">
        <v>63.40940124</v>
      </c>
      <c r="F52" s="20" t="n">
        <v>2.97481118</v>
      </c>
      <c r="G52" s="18" t="n">
        <v>17.98806135</v>
      </c>
      <c r="H52" s="20" t="n">
        <v>2.5278419</v>
      </c>
      <c r="I52" s="18" t="s">
        <v>349</v>
      </c>
      <c r="J52" s="20" t="s">
        <v>349</v>
      </c>
      <c r="K52" s="18" t="n">
        <v>1.27770604</v>
      </c>
      <c r="L52" s="20" t="n">
        <v>0.64222175</v>
      </c>
      <c r="M52" s="18" t="n">
        <v>0</v>
      </c>
      <c r="N52" s="20" t="n">
        <v>0</v>
      </c>
      <c r="O52" s="18" t="n">
        <v>0</v>
      </c>
      <c r="P52" s="20" t="n">
        <v>0</v>
      </c>
      <c r="Q52" s="18" t="n">
        <v>17.32483137</v>
      </c>
      <c r="R52" s="20" t="n">
        <v>2.128121</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56.5117427</v>
      </c>
      <c r="F56" s="20" t="n">
        <v>2.74060931</v>
      </c>
      <c r="G56" s="18" t="n">
        <v>38.73718306</v>
      </c>
      <c r="H56" s="20" t="n">
        <v>2.79047777</v>
      </c>
      <c r="I56" s="18" t="s">
        <v>349</v>
      </c>
      <c r="J56" s="20" t="s">
        <v>349</v>
      </c>
      <c r="K56" s="18" t="n">
        <v>0.53494455</v>
      </c>
      <c r="L56" s="20" t="n">
        <v>0.58629277</v>
      </c>
      <c r="M56" s="18" t="n">
        <v>0</v>
      </c>
      <c r="N56" s="20" t="n">
        <v>0</v>
      </c>
      <c r="O56" s="18" t="n">
        <v>0</v>
      </c>
      <c r="P56" s="20" t="n">
        <v>0</v>
      </c>
      <c r="Q56" s="18" t="n">
        <v>4.21612969</v>
      </c>
      <c r="R56" s="20" t="n">
        <v>1.21514244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(2888.0/B61*100)</f>
        <v/>
      </c>
      <c r="D61" s="19" t="n">
        <v>436</v>
      </c>
      <c r="E61" s="18" t="n">
        <v>72.78376276</v>
      </c>
      <c r="F61" s="20" t="n">
        <v>2.53584426</v>
      </c>
      <c r="G61" s="18" t="n">
        <v>15.37537618</v>
      </c>
      <c r="H61" s="20" t="n">
        <v>1.96458372</v>
      </c>
      <c r="I61" s="18" t="s">
        <v>349</v>
      </c>
      <c r="J61" s="20" t="s">
        <v>349</v>
      </c>
      <c r="K61" s="18" t="n">
        <v>0.62392018</v>
      </c>
      <c r="L61" s="20" t="n">
        <v>0.45453641</v>
      </c>
      <c r="M61" s="18" t="n">
        <v>0</v>
      </c>
      <c r="N61" s="20" t="n">
        <v>0</v>
      </c>
      <c r="O61" s="18" t="n">
        <v>0</v>
      </c>
      <c r="P61" s="20" t="n">
        <v>0</v>
      </c>
      <c r="Q61" s="18" t="n">
        <v>11.21694088</v>
      </c>
      <c r="R61" s="20" t="n">
        <v>1.87491303</v>
      </c>
    </row>
    <row r="62" spans="1:18">
      <c r="A62" s="15" t="s">
        <v>404</v>
      </c>
      <c r="B62" s="17" t="n">
        <v>2246</v>
      </c>
      <c r="C62" s="18">
        <f>(1969.0/B62*100)</f>
        <v/>
      </c>
      <c r="D62" s="19" t="n">
        <v>277</v>
      </c>
      <c r="E62" s="18" t="n">
        <v>61.41676441</v>
      </c>
      <c r="F62" s="20" t="n">
        <v>3.28503836</v>
      </c>
      <c r="G62" s="18" t="n">
        <v>34.95309902</v>
      </c>
      <c r="H62" s="20" t="n">
        <v>3.24767411</v>
      </c>
      <c r="I62" s="18" t="s">
        <v>349</v>
      </c>
      <c r="J62" s="20" t="s">
        <v>349</v>
      </c>
      <c r="K62" s="18" t="n">
        <v>0</v>
      </c>
      <c r="L62" s="20" t="n">
        <v>0</v>
      </c>
      <c r="M62" s="18" t="n">
        <v>0</v>
      </c>
      <c r="N62" s="20" t="n">
        <v>0</v>
      </c>
      <c r="O62" s="18" t="n">
        <v>0</v>
      </c>
      <c r="P62" s="20" t="n">
        <v>0</v>
      </c>
      <c r="Q62" s="18" t="n">
        <v>3.63013657</v>
      </c>
      <c r="R62" s="20" t="n">
        <v>1.13633856</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(2528.0/B66*100)</f>
        <v/>
      </c>
      <c r="D66" s="19" t="n">
        <v>366</v>
      </c>
      <c r="E66" s="18" t="n">
        <v>66.5851517</v>
      </c>
      <c r="F66" s="20" t="n">
        <v>2.3295589</v>
      </c>
      <c r="G66" s="18" t="n">
        <v>6.1758647</v>
      </c>
      <c r="H66" s="20" t="n">
        <v>1.29382611</v>
      </c>
      <c r="I66" s="18" t="s">
        <v>349</v>
      </c>
      <c r="J66" s="20" t="s">
        <v>349</v>
      </c>
      <c r="K66" s="18" t="n">
        <v>1.55362435</v>
      </c>
      <c r="L66" s="20" t="n">
        <v>0.63341202</v>
      </c>
      <c r="M66" s="18" t="n">
        <v>0</v>
      </c>
      <c r="N66" s="20" t="n">
        <v>0</v>
      </c>
      <c r="O66" s="18" t="n">
        <v>0</v>
      </c>
      <c r="P66" s="20" t="n">
        <v>0</v>
      </c>
      <c r="Q66" s="18" t="n">
        <v>25.68535925</v>
      </c>
      <c r="R66" s="20" t="n">
        <v>2.522016</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(5027.0/B68*100)</f>
        <v/>
      </c>
      <c r="D68" s="19" t="n">
        <v>1022</v>
      </c>
      <c r="E68" s="18" t="n">
        <v>67.97500041000001</v>
      </c>
      <c r="F68" s="20" t="n">
        <v>1.47058703</v>
      </c>
      <c r="G68" s="18" t="n">
        <v>11.38091577</v>
      </c>
      <c r="H68" s="20" t="n">
        <v>0.97102665</v>
      </c>
      <c r="I68" s="18" t="s">
        <v>349</v>
      </c>
      <c r="J68" s="20" t="s">
        <v>349</v>
      </c>
      <c r="K68" s="18" t="n">
        <v>3.85933274</v>
      </c>
      <c r="L68" s="20" t="n">
        <v>0.54263983</v>
      </c>
      <c r="M68" s="18" t="n">
        <v>0</v>
      </c>
      <c r="N68" s="20" t="n">
        <v>0</v>
      </c>
      <c r="O68" s="18" t="n">
        <v>0</v>
      </c>
      <c r="P68" s="20" t="n">
        <v>0</v>
      </c>
      <c r="Q68" s="18" t="n">
        <v>16.78475108</v>
      </c>
      <c r="R68" s="20" t="n">
        <v>1.20896729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(2565.0/B70*100)</f>
        <v/>
      </c>
      <c r="D70" s="19" t="n">
        <v>364</v>
      </c>
      <c r="E70" s="18" t="n">
        <v>67.72927636999999</v>
      </c>
      <c r="F70" s="20" t="n">
        <v>3.40693972</v>
      </c>
      <c r="G70" s="18" t="n">
        <v>19.61739918</v>
      </c>
      <c r="H70" s="20" t="n">
        <v>2.26588388</v>
      </c>
      <c r="I70" s="18" t="s">
        <v>349</v>
      </c>
      <c r="J70" s="20" t="s">
        <v>349</v>
      </c>
      <c r="K70" s="18" t="n">
        <v>0.14426864</v>
      </c>
      <c r="L70" s="20" t="n">
        <v>0.10292054</v>
      </c>
      <c r="M70" s="18" t="n">
        <v>0</v>
      </c>
      <c r="N70" s="20" t="n">
        <v>0</v>
      </c>
      <c r="O70" s="18" t="n">
        <v>0</v>
      </c>
      <c r="P70" s="20" t="n">
        <v>0</v>
      </c>
      <c r="Q70" s="18" t="n">
        <v>12.5090558</v>
      </c>
      <c r="R70" s="20" t="n">
        <v>2.35612852</v>
      </c>
    </row>
    <row r="71" spans="1:18">
      <c r="A71" s="15" t="s">
        <v>413</v>
      </c>
      <c r="B71" s="17" t="n">
        <v>3142</v>
      </c>
      <c r="C71" s="18">
        <f>(2753.0/B71*100)</f>
        <v/>
      </c>
      <c r="D71" s="19" t="n">
        <v>389</v>
      </c>
      <c r="E71" s="18" t="n">
        <v>39.27011763</v>
      </c>
      <c r="F71" s="20" t="n">
        <v>2.50881779</v>
      </c>
      <c r="G71" s="18" t="n">
        <v>55.88937322</v>
      </c>
      <c r="H71" s="20" t="n">
        <v>2.39820589</v>
      </c>
      <c r="I71" s="18" t="s">
        <v>349</v>
      </c>
      <c r="J71" s="20" t="s">
        <v>349</v>
      </c>
      <c r="K71" s="18" t="n">
        <v>0.39657845</v>
      </c>
      <c r="L71" s="20" t="n">
        <v>0.2866553</v>
      </c>
      <c r="M71" s="18" t="n">
        <v>0</v>
      </c>
      <c r="N71" s="20" t="n">
        <v>0</v>
      </c>
      <c r="O71" s="18" t="n">
        <v>0</v>
      </c>
      <c r="P71" s="20" t="n">
        <v>0</v>
      </c>
      <c r="Q71" s="18" t="n">
        <v>4.4439307</v>
      </c>
      <c r="R71" s="20" t="n">
        <v>0.85751298</v>
      </c>
    </row>
    <row r="72" spans="1:18">
      <c r="A72" s="15" t="s">
        <v>414</v>
      </c>
      <c r="B72" s="17" t="n">
        <v>3889</v>
      </c>
      <c r="C72" s="18">
        <f>(3415.0/B72*100)</f>
        <v/>
      </c>
      <c r="D72" s="19" t="n">
        <v>474</v>
      </c>
      <c r="E72" s="18" t="n">
        <v>65.86108425</v>
      </c>
      <c r="F72" s="20" t="n">
        <v>2.41920616</v>
      </c>
      <c r="G72" s="18" t="n">
        <v>28.01924224</v>
      </c>
      <c r="H72" s="20" t="n">
        <v>2.40559744</v>
      </c>
      <c r="I72" s="18" t="s">
        <v>349</v>
      </c>
      <c r="J72" s="20" t="s">
        <v>349</v>
      </c>
      <c r="K72" s="18" t="n">
        <v>0.49840339</v>
      </c>
      <c r="L72" s="20" t="n">
        <v>0.32519364</v>
      </c>
      <c r="M72" s="18" t="n">
        <v>0</v>
      </c>
      <c r="N72" s="20" t="n">
        <v>0</v>
      </c>
      <c r="O72" s="18" t="n">
        <v>0</v>
      </c>
      <c r="P72" s="20" t="n">
        <v>0</v>
      </c>
      <c r="Q72" s="18" t="n">
        <v>5.62127012</v>
      </c>
      <c r="R72" s="20" t="n">
        <v>0.92386494</v>
      </c>
    </row>
    <row r="73" spans="1:18">
      <c r="A73" s="15" t="s">
        <v>415</v>
      </c>
      <c r="B73" s="17" t="n">
        <v>3597</v>
      </c>
      <c r="C73" s="18">
        <f>(3137.0/B73*100)</f>
        <v/>
      </c>
      <c r="D73" s="19" t="n">
        <v>460</v>
      </c>
      <c r="E73" s="18" t="n">
        <v>89.36963192</v>
      </c>
      <c r="F73" s="20" t="n">
        <v>1.77366008</v>
      </c>
      <c r="G73" s="18" t="n">
        <v>5.78687173</v>
      </c>
      <c r="H73" s="20" t="n">
        <v>1.38197735</v>
      </c>
      <c r="I73" s="18" t="s">
        <v>349</v>
      </c>
      <c r="J73" s="20" t="s">
        <v>349</v>
      </c>
      <c r="K73" s="18" t="n">
        <v>0</v>
      </c>
      <c r="L73" s="20" t="n">
        <v>0</v>
      </c>
      <c r="M73" s="18" t="n">
        <v>0</v>
      </c>
      <c r="N73" s="20" t="n">
        <v>0</v>
      </c>
      <c r="O73" s="18" t="n">
        <v>0</v>
      </c>
      <c r="P73" s="20" t="n">
        <v>0</v>
      </c>
      <c r="Q73" s="18" t="n">
        <v>4.84349635</v>
      </c>
      <c r="R73" s="20" t="n">
        <v>1.39174478</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(3647.0/B81*100)</f>
        <v/>
      </c>
      <c r="D81" s="19" t="n">
        <v>516</v>
      </c>
      <c r="E81" s="18" t="n">
        <v>80.69129056</v>
      </c>
      <c r="F81" s="20" t="n">
        <v>2.10258535</v>
      </c>
      <c r="G81" s="18" t="n">
        <v>14.0260831</v>
      </c>
      <c r="H81" s="20" t="n">
        <v>1.92887686</v>
      </c>
      <c r="I81" s="18" t="s">
        <v>349</v>
      </c>
      <c r="J81" s="20" t="s">
        <v>349</v>
      </c>
      <c r="K81" s="18" t="n">
        <v>0.01980688</v>
      </c>
      <c r="L81" s="20" t="n">
        <v>0.67177181</v>
      </c>
      <c r="M81" s="18" t="n">
        <v>0</v>
      </c>
      <c r="N81" s="20" t="n">
        <v>0</v>
      </c>
      <c r="O81" s="18" t="n">
        <v>0</v>
      </c>
      <c r="P81" s="20" t="n">
        <v>0</v>
      </c>
      <c r="Q81" s="18" t="n">
        <v>5.26281946</v>
      </c>
      <c r="R81" s="20" t="n">
        <v>1.36193748</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(6491.0/B7*100)</f>
        <v/>
      </c>
      <c r="D7" s="19" t="n">
        <v>876</v>
      </c>
      <c r="E7" s="18" t="n">
        <v>50.41668769</v>
      </c>
      <c r="F7" s="20" t="n">
        <v>2.04384205</v>
      </c>
      <c r="G7" s="18" t="n">
        <v>47.01445693</v>
      </c>
      <c r="H7" s="20" t="n">
        <v>2.16734563</v>
      </c>
      <c r="I7" s="18" t="s">
        <v>349</v>
      </c>
      <c r="J7" s="20" t="s">
        <v>349</v>
      </c>
      <c r="K7" s="18" t="n">
        <v>1.2843888</v>
      </c>
      <c r="L7" s="20" t="n">
        <v>0.44147207</v>
      </c>
      <c r="M7" s="18" t="n">
        <v>0</v>
      </c>
      <c r="N7" s="20" t="n">
        <v>0</v>
      </c>
      <c r="O7" s="18" t="n">
        <v>0</v>
      </c>
      <c r="P7" s="20" t="n">
        <v>0</v>
      </c>
      <c r="Q7" s="18" t="n">
        <v>1.28446658</v>
      </c>
      <c r="R7" s="20" t="n">
        <v>0.5117714799999999</v>
      </c>
    </row>
    <row r="8" spans="1:18">
      <c r="A8" s="15" t="s">
        <v>350</v>
      </c>
      <c r="B8" s="17" t="n">
        <v>3564</v>
      </c>
      <c r="C8" s="18">
        <f>(3159.0/B8*100)</f>
        <v/>
      </c>
      <c r="D8" s="19" t="n">
        <v>405</v>
      </c>
      <c r="E8" s="18" t="n">
        <v>36.07677163</v>
      </c>
      <c r="F8" s="20" t="n">
        <v>2.83159568</v>
      </c>
      <c r="G8" s="18" t="n">
        <v>61.69281385</v>
      </c>
      <c r="H8" s="20" t="n">
        <v>2.89396908</v>
      </c>
      <c r="I8" s="18" t="s">
        <v>349</v>
      </c>
      <c r="J8" s="20" t="s">
        <v>349</v>
      </c>
      <c r="K8" s="18" t="n">
        <v>1.3253985</v>
      </c>
      <c r="L8" s="20" t="n">
        <v>0.60716128</v>
      </c>
      <c r="M8" s="18" t="n">
        <v>0</v>
      </c>
      <c r="N8" s="20" t="n">
        <v>0</v>
      </c>
      <c r="O8" s="18" t="n">
        <v>0</v>
      </c>
      <c r="P8" s="20" t="n">
        <v>0</v>
      </c>
      <c r="Q8" s="18" t="n">
        <v>0.90501602</v>
      </c>
      <c r="R8" s="20" t="n">
        <v>0.48853704</v>
      </c>
    </row>
    <row r="9" spans="1:18">
      <c r="A9" s="15" t="s">
        <v>351</v>
      </c>
      <c r="B9" s="17" t="n">
        <v>4899</v>
      </c>
      <c r="C9" s="18">
        <f>(4313.0/B9*100)</f>
        <v/>
      </c>
      <c r="D9" s="19" t="n">
        <v>586</v>
      </c>
      <c r="E9" s="18" t="n">
        <v>36.96280806</v>
      </c>
      <c r="F9" s="20" t="n">
        <v>1.97771619</v>
      </c>
      <c r="G9" s="18" t="n">
        <v>59.60948001</v>
      </c>
      <c r="H9" s="20" t="n">
        <v>2.11702515</v>
      </c>
      <c r="I9" s="18" t="s">
        <v>349</v>
      </c>
      <c r="J9" s="20" t="s">
        <v>349</v>
      </c>
      <c r="K9" s="18" t="n">
        <v>1.70134404</v>
      </c>
      <c r="L9" s="20" t="n">
        <v>0.57722069</v>
      </c>
      <c r="M9" s="18" t="n">
        <v>0</v>
      </c>
      <c r="N9" s="20" t="n">
        <v>0</v>
      </c>
      <c r="O9" s="18" t="n">
        <v>0</v>
      </c>
      <c r="P9" s="20" t="n">
        <v>0</v>
      </c>
      <c r="Q9" s="18" t="n">
        <v>1.72636789</v>
      </c>
      <c r="R9" s="20" t="n">
        <v>0.5347032900000001</v>
      </c>
    </row>
    <row r="10" spans="1:18">
      <c r="A10" s="15" t="s">
        <v>352</v>
      </c>
      <c r="B10" s="17" t="n">
        <v>10036</v>
      </c>
      <c r="C10" s="18">
        <f>(8812.0/B10*100)</f>
        <v/>
      </c>
      <c r="D10" s="19" t="n">
        <v>1224</v>
      </c>
      <c r="E10" s="18" t="n">
        <v>42.24525845</v>
      </c>
      <c r="F10" s="20" t="n">
        <v>1.59625958</v>
      </c>
      <c r="G10" s="18" t="n">
        <v>56.20285126</v>
      </c>
      <c r="H10" s="20" t="n">
        <v>1.54268922</v>
      </c>
      <c r="I10" s="18" t="s">
        <v>349</v>
      </c>
      <c r="J10" s="20" t="s">
        <v>349</v>
      </c>
      <c r="K10" s="18" t="n">
        <v>0.9573547100000001</v>
      </c>
      <c r="L10" s="20" t="n">
        <v>0.35299601</v>
      </c>
      <c r="M10" s="18" t="n">
        <v>0</v>
      </c>
      <c r="N10" s="20" t="n">
        <v>0</v>
      </c>
      <c r="O10" s="18" t="n">
        <v>0</v>
      </c>
      <c r="P10" s="20" t="n">
        <v>0</v>
      </c>
      <c r="Q10" s="18" t="n">
        <v>0.59453558</v>
      </c>
      <c r="R10" s="20" t="n">
        <v>0.24386202</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(3064.0/B12*100)</f>
        <v/>
      </c>
      <c r="D12" s="19" t="n">
        <v>408</v>
      </c>
      <c r="E12" s="18" t="n">
        <v>49.87869498</v>
      </c>
      <c r="F12" s="20" t="n">
        <v>3.1375009</v>
      </c>
      <c r="G12" s="18" t="n">
        <v>48.86181643</v>
      </c>
      <c r="H12" s="20" t="n">
        <v>3.14923723</v>
      </c>
      <c r="I12" s="18" t="s">
        <v>349</v>
      </c>
      <c r="J12" s="20" t="s">
        <v>349</v>
      </c>
      <c r="K12" s="18" t="n">
        <v>0.43948087</v>
      </c>
      <c r="L12" s="20" t="n">
        <v>0.31810159</v>
      </c>
      <c r="M12" s="18" t="n">
        <v>0</v>
      </c>
      <c r="N12" s="20" t="n">
        <v>0</v>
      </c>
      <c r="O12" s="18" t="n">
        <v>0</v>
      </c>
      <c r="P12" s="20" t="n">
        <v>0</v>
      </c>
      <c r="Q12" s="18" t="n">
        <v>0.82000772</v>
      </c>
      <c r="R12" s="20" t="n">
        <v>0.55650814</v>
      </c>
    </row>
    <row r="13" spans="1:18">
      <c r="A13" s="15" t="s">
        <v>355</v>
      </c>
      <c r="B13" s="17" t="n">
        <v>3559</v>
      </c>
      <c r="C13" s="18">
        <f>(3140.0/B13*100)</f>
        <v/>
      </c>
      <c r="D13" s="19" t="n">
        <v>419</v>
      </c>
      <c r="E13" s="18" t="n">
        <v>42.75504652</v>
      </c>
      <c r="F13" s="20" t="n">
        <v>2.99346107</v>
      </c>
      <c r="G13" s="18" t="n">
        <v>57.07116564</v>
      </c>
      <c r="H13" s="20" t="n">
        <v>3.00222329</v>
      </c>
      <c r="I13" s="18" t="s">
        <v>349</v>
      </c>
      <c r="J13" s="20" t="s">
        <v>349</v>
      </c>
      <c r="K13" s="18" t="n">
        <v>0.12170329</v>
      </c>
      <c r="L13" s="20" t="n">
        <v>0.123197</v>
      </c>
      <c r="M13" s="18" t="n">
        <v>0</v>
      </c>
      <c r="N13" s="20" t="n">
        <v>0</v>
      </c>
      <c r="O13" s="18" t="n">
        <v>0</v>
      </c>
      <c r="P13" s="20" t="n">
        <v>0</v>
      </c>
      <c r="Q13" s="18" t="n">
        <v>0.05208455</v>
      </c>
      <c r="R13" s="20" t="n">
        <v>0.05241515</v>
      </c>
    </row>
    <row r="14" spans="1:18">
      <c r="A14" s="15" t="s">
        <v>356</v>
      </c>
      <c r="B14" s="17" t="n">
        <v>2799</v>
      </c>
      <c r="C14" s="18">
        <f>(2421.0/B14*100)</f>
        <v/>
      </c>
      <c r="D14" s="19" t="n">
        <v>378</v>
      </c>
      <c r="E14" s="18" t="n">
        <v>43.70011622</v>
      </c>
      <c r="F14" s="20" t="n">
        <v>2.99806661</v>
      </c>
      <c r="G14" s="18" t="n">
        <v>54.46665198</v>
      </c>
      <c r="H14" s="20" t="n">
        <v>3.06022738</v>
      </c>
      <c r="I14" s="18" t="s">
        <v>349</v>
      </c>
      <c r="J14" s="20" t="s">
        <v>349</v>
      </c>
      <c r="K14" s="18" t="n">
        <v>0.60747566</v>
      </c>
      <c r="L14" s="20" t="n">
        <v>0.3549894</v>
      </c>
      <c r="M14" s="18" t="n">
        <v>0</v>
      </c>
      <c r="N14" s="20" t="n">
        <v>0</v>
      </c>
      <c r="O14" s="18" t="n">
        <v>0</v>
      </c>
      <c r="P14" s="20" t="n">
        <v>0</v>
      </c>
      <c r="Q14" s="18" t="n">
        <v>1.22575613</v>
      </c>
      <c r="R14" s="20" t="n">
        <v>0.67395314</v>
      </c>
    </row>
    <row r="15" spans="1:18">
      <c r="A15" s="15" t="s">
        <v>357</v>
      </c>
      <c r="B15" s="17" t="n">
        <v>3019</v>
      </c>
      <c r="C15" s="18">
        <f>(2643.0/B15*100)</f>
        <v/>
      </c>
      <c r="D15" s="19" t="n">
        <v>376</v>
      </c>
      <c r="E15" s="18" t="n">
        <v>47.81211017</v>
      </c>
      <c r="F15" s="20" t="n">
        <v>2.82365067</v>
      </c>
      <c r="G15" s="18" t="n">
        <v>49.30327919</v>
      </c>
      <c r="H15" s="20" t="n">
        <v>2.69994586</v>
      </c>
      <c r="I15" s="18" t="s">
        <v>349</v>
      </c>
      <c r="J15" s="20" t="s">
        <v>349</v>
      </c>
      <c r="K15" s="18" t="n">
        <v>0.48177675</v>
      </c>
      <c r="L15" s="20" t="n">
        <v>0.34192197</v>
      </c>
      <c r="M15" s="18" t="n">
        <v>0</v>
      </c>
      <c r="N15" s="20" t="n">
        <v>0</v>
      </c>
      <c r="O15" s="18" t="n">
        <v>0</v>
      </c>
      <c r="P15" s="20" t="n">
        <v>0</v>
      </c>
      <c r="Q15" s="18" t="n">
        <v>2.4028339</v>
      </c>
      <c r="R15" s="20" t="n">
        <v>0.97685442</v>
      </c>
    </row>
    <row r="16" spans="1:18">
      <c r="A16" s="15" t="s">
        <v>358</v>
      </c>
      <c r="B16" s="17" t="n">
        <v>2997</v>
      </c>
      <c r="C16" s="18">
        <f>(2611.0/B16*100)</f>
        <v/>
      </c>
      <c r="D16" s="19" t="n">
        <v>386</v>
      </c>
      <c r="E16" s="18" t="n">
        <v>44.44484016</v>
      </c>
      <c r="F16" s="20" t="n">
        <v>2.69025722</v>
      </c>
      <c r="G16" s="18" t="n">
        <v>52.50271974</v>
      </c>
      <c r="H16" s="20" t="n">
        <v>2.75939674</v>
      </c>
      <c r="I16" s="18" t="s">
        <v>349</v>
      </c>
      <c r="J16" s="20" t="s">
        <v>349</v>
      </c>
      <c r="K16" s="18" t="n">
        <v>2.2891959</v>
      </c>
      <c r="L16" s="20" t="n">
        <v>0.82787823</v>
      </c>
      <c r="M16" s="18" t="n">
        <v>0</v>
      </c>
      <c r="N16" s="20" t="n">
        <v>0</v>
      </c>
      <c r="O16" s="18" t="n">
        <v>0</v>
      </c>
      <c r="P16" s="20" t="n">
        <v>0</v>
      </c>
      <c r="Q16" s="18" t="n">
        <v>0.7632442</v>
      </c>
      <c r="R16" s="20" t="n">
        <v>0.35090724</v>
      </c>
    </row>
    <row r="17" spans="1:18">
      <c r="A17" s="15" t="s">
        <v>359</v>
      </c>
      <c r="B17" s="17" t="n">
        <v>3307</v>
      </c>
      <c r="C17" s="18">
        <f>(2914.0/B17*100)</f>
        <v/>
      </c>
      <c r="D17" s="19" t="n">
        <v>393</v>
      </c>
      <c r="E17" s="18" t="n">
        <v>39.32579296</v>
      </c>
      <c r="F17" s="20" t="n">
        <v>2.29589164</v>
      </c>
      <c r="G17" s="18" t="n">
        <v>57.81489044</v>
      </c>
      <c r="H17" s="20" t="n">
        <v>2.27502188</v>
      </c>
      <c r="I17" s="18" t="s">
        <v>349</v>
      </c>
      <c r="J17" s="20" t="s">
        <v>349</v>
      </c>
      <c r="K17" s="18" t="n">
        <v>0.98739648</v>
      </c>
      <c r="L17" s="20" t="n">
        <v>0.45406356</v>
      </c>
      <c r="M17" s="18" t="n">
        <v>0</v>
      </c>
      <c r="N17" s="20" t="n">
        <v>0</v>
      </c>
      <c r="O17" s="18" t="n">
        <v>0</v>
      </c>
      <c r="P17" s="20" t="n">
        <v>0</v>
      </c>
      <c r="Q17" s="18" t="n">
        <v>1.87192012</v>
      </c>
      <c r="R17" s="20" t="n">
        <v>0.68851726</v>
      </c>
    </row>
    <row r="18" spans="1:18">
      <c r="A18" s="15" t="s">
        <v>360</v>
      </c>
      <c r="B18" s="17" t="n">
        <v>2826</v>
      </c>
      <c r="C18" s="18">
        <f>(2452.0/B18*100)</f>
        <v/>
      </c>
      <c r="D18" s="19" t="n">
        <v>374</v>
      </c>
      <c r="E18" s="18" t="n">
        <v>49.99007518</v>
      </c>
      <c r="F18" s="20" t="n">
        <v>2.94715675</v>
      </c>
      <c r="G18" s="18" t="n">
        <v>47.9134886</v>
      </c>
      <c r="H18" s="20" t="n">
        <v>2.87722238</v>
      </c>
      <c r="I18" s="18" t="s">
        <v>349</v>
      </c>
      <c r="J18" s="20" t="s">
        <v>349</v>
      </c>
      <c r="K18" s="18" t="n">
        <v>1.36285738</v>
      </c>
      <c r="L18" s="20" t="n">
        <v>0.67731098</v>
      </c>
      <c r="M18" s="18" t="n">
        <v>0</v>
      </c>
      <c r="N18" s="20" t="n">
        <v>0</v>
      </c>
      <c r="O18" s="18" t="n">
        <v>0</v>
      </c>
      <c r="P18" s="20" t="n">
        <v>0</v>
      </c>
      <c r="Q18" s="18" t="n">
        <v>0.73357884</v>
      </c>
      <c r="R18" s="20" t="n">
        <v>0.43116694</v>
      </c>
    </row>
    <row r="19" spans="1:18">
      <c r="A19" s="15" t="s">
        <v>361</v>
      </c>
      <c r="B19" s="17" t="n">
        <v>2808</v>
      </c>
      <c r="C19" s="18">
        <f>(2480.0/B19*100)</f>
        <v/>
      </c>
      <c r="D19" s="19" t="n">
        <v>328</v>
      </c>
      <c r="E19" s="18" t="n">
        <v>44.66164811</v>
      </c>
      <c r="F19" s="20" t="n">
        <v>2.68773311</v>
      </c>
      <c r="G19" s="18" t="n">
        <v>55.33835189</v>
      </c>
      <c r="H19" s="20" t="n">
        <v>2.68773311</v>
      </c>
      <c r="I19" s="18" t="s">
        <v>349</v>
      </c>
      <c r="J19" s="20" t="s">
        <v>349</v>
      </c>
      <c r="K19" s="18" t="n">
        <v>0</v>
      </c>
      <c r="L19" s="20" t="n">
        <v>0</v>
      </c>
      <c r="M19" s="18" t="n">
        <v>0</v>
      </c>
      <c r="N19" s="20" t="n">
        <v>0</v>
      </c>
      <c r="O19" s="18" t="n">
        <v>0</v>
      </c>
      <c r="P19" s="20" t="n">
        <v>0</v>
      </c>
      <c r="Q19" s="18" t="n">
        <v>0</v>
      </c>
      <c r="R19" s="20" t="n">
        <v>0</v>
      </c>
    </row>
    <row r="20" spans="1:18">
      <c r="A20" s="15" t="s">
        <v>362</v>
      </c>
      <c r="B20" s="17" t="n">
        <v>1630</v>
      </c>
      <c r="C20" s="18">
        <f>(1430.0/B20*100)</f>
        <v/>
      </c>
      <c r="D20" s="19" t="n">
        <v>200</v>
      </c>
      <c r="E20" s="18" t="n">
        <v>46.77441578</v>
      </c>
      <c r="F20" s="20" t="n">
        <v>3.78857601</v>
      </c>
      <c r="G20" s="18" t="n">
        <v>46.42925919</v>
      </c>
      <c r="H20" s="20" t="n">
        <v>3.72141494</v>
      </c>
      <c r="I20" s="18" t="s">
        <v>349</v>
      </c>
      <c r="J20" s="20" t="s">
        <v>349</v>
      </c>
      <c r="K20" s="18" t="n">
        <v>4.23009855</v>
      </c>
      <c r="L20" s="20" t="n">
        <v>1.34570671</v>
      </c>
      <c r="M20" s="18" t="n">
        <v>0</v>
      </c>
      <c r="N20" s="20" t="n">
        <v>0</v>
      </c>
      <c r="O20" s="18" t="n">
        <v>0</v>
      </c>
      <c r="P20" s="20" t="n">
        <v>0</v>
      </c>
      <c r="Q20" s="18" t="n">
        <v>2.56622649</v>
      </c>
      <c r="R20" s="20" t="n">
        <v>1.11193911</v>
      </c>
    </row>
    <row r="21" spans="1:18">
      <c r="A21" s="15" t="s">
        <v>363</v>
      </c>
      <c r="B21" s="17" t="n">
        <v>2908</v>
      </c>
      <c r="C21" s="18">
        <f>(2421.0/B21*100)</f>
        <v/>
      </c>
      <c r="D21" s="19" t="n">
        <v>487</v>
      </c>
      <c r="E21" s="18" t="n">
        <v>47.09216738</v>
      </c>
      <c r="F21" s="20" t="n">
        <v>2.47430042</v>
      </c>
      <c r="G21" s="18" t="n">
        <v>50.84453966</v>
      </c>
      <c r="H21" s="20" t="n">
        <v>2.4117649</v>
      </c>
      <c r="I21" s="18" t="s">
        <v>349</v>
      </c>
      <c r="J21" s="20" t="s">
        <v>349</v>
      </c>
      <c r="K21" s="18" t="n">
        <v>1.2627907</v>
      </c>
      <c r="L21" s="20" t="n">
        <v>0.58516747</v>
      </c>
      <c r="M21" s="18" t="n">
        <v>0</v>
      </c>
      <c r="N21" s="20" t="n">
        <v>0</v>
      </c>
      <c r="O21" s="18" t="n">
        <v>0</v>
      </c>
      <c r="P21" s="20" t="n">
        <v>0</v>
      </c>
      <c r="Q21" s="18" t="n">
        <v>0.80050226</v>
      </c>
      <c r="R21" s="20" t="n">
        <v>0.3519669</v>
      </c>
    </row>
    <row r="22" spans="1:18">
      <c r="A22" s="15" t="s">
        <v>364</v>
      </c>
      <c r="B22" s="17" t="n">
        <v>2931</v>
      </c>
      <c r="C22" s="18">
        <f>(2572.0/B22*100)</f>
        <v/>
      </c>
      <c r="D22" s="19" t="n">
        <v>359</v>
      </c>
      <c r="E22" s="18" t="n">
        <v>46.65901116</v>
      </c>
      <c r="F22" s="20" t="n">
        <v>2.80639736</v>
      </c>
      <c r="G22" s="18" t="n">
        <v>48.7112908</v>
      </c>
      <c r="H22" s="20" t="n">
        <v>2.8555738</v>
      </c>
      <c r="I22" s="18" t="s">
        <v>349</v>
      </c>
      <c r="J22" s="20" t="s">
        <v>349</v>
      </c>
      <c r="K22" s="18" t="n">
        <v>2.15602741</v>
      </c>
      <c r="L22" s="20" t="n">
        <v>0.80397142</v>
      </c>
      <c r="M22" s="18" t="n">
        <v>0</v>
      </c>
      <c r="N22" s="20" t="n">
        <v>0</v>
      </c>
      <c r="O22" s="18" t="n">
        <v>0</v>
      </c>
      <c r="P22" s="20" t="n">
        <v>0</v>
      </c>
      <c r="Q22" s="18" t="n">
        <v>2.47367063</v>
      </c>
      <c r="R22" s="20" t="n">
        <v>1.23665886</v>
      </c>
    </row>
    <row r="23" spans="1:18">
      <c r="A23" s="15" t="s">
        <v>365</v>
      </c>
      <c r="B23" s="17" t="n">
        <v>5791</v>
      </c>
      <c r="C23" s="18">
        <f>(5094.0/B23*100)</f>
        <v/>
      </c>
      <c r="D23" s="19" t="n">
        <v>697</v>
      </c>
      <c r="E23" s="18" t="n">
        <v>37.71214629</v>
      </c>
      <c r="F23" s="20" t="n">
        <v>2.69699031</v>
      </c>
      <c r="G23" s="18" t="n">
        <v>59.79611828</v>
      </c>
      <c r="H23" s="20" t="n">
        <v>2.70010426</v>
      </c>
      <c r="I23" s="18" t="s">
        <v>349</v>
      </c>
      <c r="J23" s="20" t="s">
        <v>349</v>
      </c>
      <c r="K23" s="18" t="n">
        <v>1.48191103</v>
      </c>
      <c r="L23" s="20" t="n">
        <v>0.6048388099999999</v>
      </c>
      <c r="M23" s="18" t="n">
        <v>0</v>
      </c>
      <c r="N23" s="20" t="n">
        <v>0</v>
      </c>
      <c r="O23" s="18" t="n">
        <v>0</v>
      </c>
      <c r="P23" s="20" t="n">
        <v>0</v>
      </c>
      <c r="Q23" s="18" t="n">
        <v>1.0098244</v>
      </c>
      <c r="R23" s="20" t="n">
        <v>0.50974379</v>
      </c>
    </row>
    <row r="24" spans="1:18">
      <c r="A24" s="15" t="s">
        <v>366</v>
      </c>
      <c r="B24" s="17" t="n">
        <v>3338</v>
      </c>
      <c r="C24" s="18">
        <f>(2916.0/B24*100)</f>
        <v/>
      </c>
      <c r="D24" s="19" t="n">
        <v>422</v>
      </c>
      <c r="E24" s="18" t="n">
        <v>36.63004138</v>
      </c>
      <c r="F24" s="20" t="n">
        <v>2.59157352</v>
      </c>
      <c r="G24" s="18" t="n">
        <v>61.88918931</v>
      </c>
      <c r="H24" s="20" t="n">
        <v>2.56854621</v>
      </c>
      <c r="I24" s="18" t="s">
        <v>349</v>
      </c>
      <c r="J24" s="20" t="s">
        <v>349</v>
      </c>
      <c r="K24" s="18" t="n">
        <v>0.8153756599999999</v>
      </c>
      <c r="L24" s="20" t="n">
        <v>0.41989139</v>
      </c>
      <c r="M24" s="18" t="n">
        <v>0</v>
      </c>
      <c r="N24" s="20" t="n">
        <v>0</v>
      </c>
      <c r="O24" s="18" t="n">
        <v>0</v>
      </c>
      <c r="P24" s="20" t="n">
        <v>0</v>
      </c>
      <c r="Q24" s="18" t="n">
        <v>0.6653936499999999</v>
      </c>
      <c r="R24" s="20" t="n">
        <v>0.37611696</v>
      </c>
    </row>
    <row r="25" spans="1:18">
      <c r="A25" s="15" t="s">
        <v>367</v>
      </c>
      <c r="B25" s="17" t="n">
        <v>2912</v>
      </c>
      <c r="C25" s="18">
        <f>(2542.0/B25*100)</f>
        <v/>
      </c>
      <c r="D25" s="19" t="n">
        <v>370</v>
      </c>
      <c r="E25" s="18" t="n">
        <v>40.23499137</v>
      </c>
      <c r="F25" s="20" t="n">
        <v>2.68734055</v>
      </c>
      <c r="G25" s="18" t="n">
        <v>58.92546303</v>
      </c>
      <c r="H25" s="20" t="n">
        <v>2.81370292</v>
      </c>
      <c r="I25" s="18" t="s">
        <v>349</v>
      </c>
      <c r="J25" s="20" t="s">
        <v>349</v>
      </c>
      <c r="K25" s="18" t="n">
        <v>0.54017857</v>
      </c>
      <c r="L25" s="20" t="n">
        <v>0.38301407</v>
      </c>
      <c r="M25" s="18" t="n">
        <v>0</v>
      </c>
      <c r="N25" s="20" t="n">
        <v>0</v>
      </c>
      <c r="O25" s="18" t="n">
        <v>0</v>
      </c>
      <c r="P25" s="20" t="n">
        <v>0</v>
      </c>
      <c r="Q25" s="18" t="n">
        <v>0.29936702</v>
      </c>
      <c r="R25" s="20" t="n">
        <v>0.29907162</v>
      </c>
    </row>
    <row r="26" spans="1:18">
      <c r="A26" s="15" t="s">
        <v>368</v>
      </c>
      <c r="B26" s="17" t="n">
        <v>2450</v>
      </c>
      <c r="C26" s="18">
        <f>(2164.0/B26*100)</f>
        <v/>
      </c>
      <c r="D26" s="19" t="n">
        <v>286</v>
      </c>
      <c r="E26" s="18" t="n">
        <v>47.50545934</v>
      </c>
      <c r="F26" s="20" t="n">
        <v>2.78136079</v>
      </c>
      <c r="G26" s="18" t="n">
        <v>51.63731418</v>
      </c>
      <c r="H26" s="20" t="n">
        <v>2.83959808</v>
      </c>
      <c r="I26" s="18" t="s">
        <v>349</v>
      </c>
      <c r="J26" s="20" t="s">
        <v>349</v>
      </c>
      <c r="K26" s="18" t="n">
        <v>0.30198395</v>
      </c>
      <c r="L26" s="20" t="n">
        <v>0.28437414</v>
      </c>
      <c r="M26" s="18" t="n">
        <v>0</v>
      </c>
      <c r="N26" s="20" t="n">
        <v>0</v>
      </c>
      <c r="O26" s="18" t="n">
        <v>0</v>
      </c>
      <c r="P26" s="20" t="n">
        <v>0</v>
      </c>
      <c r="Q26" s="18" t="n">
        <v>0.55524253</v>
      </c>
      <c r="R26" s="20" t="n">
        <v>0.39447963</v>
      </c>
    </row>
    <row r="27" spans="1:18">
      <c r="A27" s="15" t="s">
        <v>369</v>
      </c>
      <c r="B27" s="17" t="n">
        <v>2616</v>
      </c>
      <c r="C27" s="18">
        <f>(2293.0/B27*100)</f>
        <v/>
      </c>
      <c r="D27" s="19" t="n">
        <v>323</v>
      </c>
      <c r="E27" s="18" t="n">
        <v>47.14174336</v>
      </c>
      <c r="F27" s="20" t="n">
        <v>2.82892512</v>
      </c>
      <c r="G27" s="18" t="n">
        <v>51.60366514</v>
      </c>
      <c r="H27" s="20" t="n">
        <v>2.76817647</v>
      </c>
      <c r="I27" s="18" t="s">
        <v>349</v>
      </c>
      <c r="J27" s="20" t="s">
        <v>349</v>
      </c>
      <c r="K27" s="18" t="n">
        <v>0.94136961</v>
      </c>
      <c r="L27" s="20" t="n">
        <v>0.53695259</v>
      </c>
      <c r="M27" s="18" t="n">
        <v>0</v>
      </c>
      <c r="N27" s="20" t="n">
        <v>0</v>
      </c>
      <c r="O27" s="18" t="n">
        <v>0</v>
      </c>
      <c r="P27" s="20" t="n">
        <v>0</v>
      </c>
      <c r="Q27" s="18" t="n">
        <v>0.31322189</v>
      </c>
      <c r="R27" s="20" t="n">
        <v>0.31358894</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48.22187586</v>
      </c>
      <c r="F29" s="20" t="n">
        <v>2.9352756</v>
      </c>
      <c r="G29" s="18" t="n">
        <v>49.67696096</v>
      </c>
      <c r="H29" s="20" t="n">
        <v>2.87264844</v>
      </c>
      <c r="I29" s="18" t="s">
        <v>349</v>
      </c>
      <c r="J29" s="20" t="s">
        <v>349</v>
      </c>
      <c r="K29" s="18" t="n">
        <v>0.90836916</v>
      </c>
      <c r="L29" s="20" t="n">
        <v>0.52700864</v>
      </c>
      <c r="M29" s="18" t="n">
        <v>0</v>
      </c>
      <c r="N29" s="20" t="n">
        <v>0</v>
      </c>
      <c r="O29" s="18" t="n">
        <v>0</v>
      </c>
      <c r="P29" s="20" t="n">
        <v>0</v>
      </c>
      <c r="Q29" s="18" t="n">
        <v>1.19279402</v>
      </c>
      <c r="R29" s="20" t="n">
        <v>0.63590589</v>
      </c>
    </row>
    <row r="30" spans="1:18">
      <c r="A30" s="15" t="s">
        <v>372</v>
      </c>
      <c r="B30" s="17" t="n">
        <v>2263</v>
      </c>
      <c r="C30" s="18">
        <f>(2012.0/B30*100)</f>
        <v/>
      </c>
      <c r="D30" s="19" t="n">
        <v>251</v>
      </c>
      <c r="E30" s="18" t="n">
        <v>41.88258703</v>
      </c>
      <c r="F30" s="20" t="n">
        <v>3.13582125</v>
      </c>
      <c r="G30" s="18" t="n">
        <v>54.44440895</v>
      </c>
      <c r="H30" s="20" t="n">
        <v>3.32460374</v>
      </c>
      <c r="I30" s="18" t="s">
        <v>349</v>
      </c>
      <c r="J30" s="20" t="s">
        <v>349</v>
      </c>
      <c r="K30" s="18" t="n">
        <v>1.01473225</v>
      </c>
      <c r="L30" s="20" t="n">
        <v>0.51403745</v>
      </c>
      <c r="M30" s="18" t="n">
        <v>0</v>
      </c>
      <c r="N30" s="20" t="n">
        <v>0</v>
      </c>
      <c r="O30" s="18" t="n">
        <v>0</v>
      </c>
      <c r="P30" s="20" t="n">
        <v>0</v>
      </c>
      <c r="Q30" s="18" t="n">
        <v>2.65827178</v>
      </c>
      <c r="R30" s="20" t="n">
        <v>0.96825188</v>
      </c>
    </row>
    <row r="31" spans="1:18">
      <c r="A31" s="15" t="s">
        <v>373</v>
      </c>
      <c r="B31" s="17" t="n">
        <v>2750</v>
      </c>
      <c r="C31" s="18">
        <f>(2396.0/B31*100)</f>
        <v/>
      </c>
      <c r="D31" s="19" t="n">
        <v>354</v>
      </c>
      <c r="E31" s="18" t="n">
        <v>42.20448815</v>
      </c>
      <c r="F31" s="20" t="n">
        <v>2.68410799</v>
      </c>
      <c r="G31" s="18" t="n">
        <v>54.46153319</v>
      </c>
      <c r="H31" s="20" t="n">
        <v>2.6185577</v>
      </c>
      <c r="I31" s="18" t="s">
        <v>349</v>
      </c>
      <c r="J31" s="20" t="s">
        <v>349</v>
      </c>
      <c r="K31" s="18" t="n">
        <v>1.65416372</v>
      </c>
      <c r="L31" s="20" t="n">
        <v>0.68143474</v>
      </c>
      <c r="M31" s="18" t="n">
        <v>0</v>
      </c>
      <c r="N31" s="20" t="n">
        <v>0</v>
      </c>
      <c r="O31" s="18" t="n">
        <v>0</v>
      </c>
      <c r="P31" s="20" t="n">
        <v>0</v>
      </c>
      <c r="Q31" s="18" t="n">
        <v>1.67981493</v>
      </c>
      <c r="R31" s="20" t="n">
        <v>0.69974546</v>
      </c>
    </row>
    <row r="32" spans="1:18">
      <c r="A32" s="15" t="s">
        <v>374</v>
      </c>
      <c r="B32" s="17" t="n">
        <v>2269</v>
      </c>
      <c r="C32" s="18">
        <f>(1894.0/B32*100)</f>
        <v/>
      </c>
      <c r="D32" s="19" t="n">
        <v>375</v>
      </c>
      <c r="E32" s="18" t="n">
        <v>41.19230821</v>
      </c>
      <c r="F32" s="20" t="n">
        <v>2.49877715</v>
      </c>
      <c r="G32" s="18" t="n">
        <v>57.44552308</v>
      </c>
      <c r="H32" s="20" t="n">
        <v>2.54170362</v>
      </c>
      <c r="I32" s="18" t="s">
        <v>349</v>
      </c>
      <c r="J32" s="20" t="s">
        <v>349</v>
      </c>
      <c r="K32" s="18" t="n">
        <v>0.75931822</v>
      </c>
      <c r="L32" s="20" t="n">
        <v>0.4169407</v>
      </c>
      <c r="M32" s="18" t="n">
        <v>0</v>
      </c>
      <c r="N32" s="20" t="n">
        <v>0</v>
      </c>
      <c r="O32" s="18" t="n">
        <v>0</v>
      </c>
      <c r="P32" s="20" t="n">
        <v>0</v>
      </c>
      <c r="Q32" s="18" t="n">
        <v>0.60285049</v>
      </c>
      <c r="R32" s="20" t="n">
        <v>0.38716542</v>
      </c>
    </row>
    <row r="33" spans="1:18">
      <c r="A33" s="15" t="s">
        <v>375</v>
      </c>
      <c r="B33" s="17" t="n">
        <v>3674</v>
      </c>
      <c r="C33" s="18">
        <f>(3241.0/B33*100)</f>
        <v/>
      </c>
      <c r="D33" s="19" t="n">
        <v>433</v>
      </c>
      <c r="E33" s="18" t="n">
        <v>39.64023928</v>
      </c>
      <c r="F33" s="20" t="n">
        <v>3.1920311</v>
      </c>
      <c r="G33" s="18" t="n">
        <v>58.10082928</v>
      </c>
      <c r="H33" s="20" t="n">
        <v>3.10209899</v>
      </c>
      <c r="I33" s="18" t="s">
        <v>349</v>
      </c>
      <c r="J33" s="20" t="s">
        <v>349</v>
      </c>
      <c r="K33" s="18" t="n">
        <v>1.15033801</v>
      </c>
      <c r="L33" s="20" t="n">
        <v>0.61505426</v>
      </c>
      <c r="M33" s="18" t="n">
        <v>0</v>
      </c>
      <c r="N33" s="20" t="n">
        <v>0</v>
      </c>
      <c r="O33" s="18" t="n">
        <v>0</v>
      </c>
      <c r="P33" s="20" t="n">
        <v>0</v>
      </c>
      <c r="Q33" s="18" t="n">
        <v>1.10859343</v>
      </c>
      <c r="R33" s="20" t="n">
        <v>0.3768868</v>
      </c>
    </row>
    <row r="34" spans="1:18">
      <c r="A34" s="15" t="s">
        <v>376</v>
      </c>
      <c r="B34" s="17" t="n">
        <v>3315</v>
      </c>
      <c r="C34" s="18">
        <f>(2941.0/B34*100)</f>
        <v/>
      </c>
      <c r="D34" s="19" t="n">
        <v>374</v>
      </c>
      <c r="E34" s="18" t="n">
        <v>50.42137287</v>
      </c>
      <c r="F34" s="20" t="n">
        <v>2.6468804</v>
      </c>
      <c r="G34" s="18" t="n">
        <v>48.58916134</v>
      </c>
      <c r="H34" s="20" t="n">
        <v>2.59831408</v>
      </c>
      <c r="I34" s="18" t="s">
        <v>349</v>
      </c>
      <c r="J34" s="20" t="s">
        <v>349</v>
      </c>
      <c r="K34" s="18" t="n">
        <v>0.21496139</v>
      </c>
      <c r="L34" s="20" t="n">
        <v>0.21341244</v>
      </c>
      <c r="M34" s="18" t="n">
        <v>0</v>
      </c>
      <c r="N34" s="20" t="n">
        <v>0</v>
      </c>
      <c r="O34" s="18" t="n">
        <v>0</v>
      </c>
      <c r="P34" s="20" t="n">
        <v>0</v>
      </c>
      <c r="Q34" s="18" t="n">
        <v>0.77450439</v>
      </c>
      <c r="R34" s="20" t="n">
        <v>0.55133847</v>
      </c>
    </row>
    <row r="35" spans="1:18">
      <c r="A35" s="15" t="s">
        <v>377</v>
      </c>
      <c r="B35" s="17" t="n">
        <v>3505</v>
      </c>
      <c r="C35" s="18">
        <f>(3075.0/B35*100)</f>
        <v/>
      </c>
      <c r="D35" s="19" t="n">
        <v>430</v>
      </c>
      <c r="E35" s="18" t="n">
        <v>43.07736085</v>
      </c>
      <c r="F35" s="20" t="n">
        <v>3.34838063</v>
      </c>
      <c r="G35" s="18" t="n">
        <v>55.21525261</v>
      </c>
      <c r="H35" s="20" t="n">
        <v>3.29653711</v>
      </c>
      <c r="I35" s="18" t="s">
        <v>349</v>
      </c>
      <c r="J35" s="20" t="s">
        <v>349</v>
      </c>
      <c r="K35" s="18" t="n">
        <v>0.65024114</v>
      </c>
      <c r="L35" s="20" t="n">
        <v>0.31647447</v>
      </c>
      <c r="M35" s="18" t="n">
        <v>0</v>
      </c>
      <c r="N35" s="20" t="n">
        <v>0</v>
      </c>
      <c r="O35" s="18" t="n">
        <v>0</v>
      </c>
      <c r="P35" s="20" t="n">
        <v>0</v>
      </c>
      <c r="Q35" s="18" t="n">
        <v>1.0571454</v>
      </c>
      <c r="R35" s="20" t="n">
        <v>0.62938463</v>
      </c>
    </row>
    <row r="36" spans="1:18">
      <c r="A36" s="15" t="s">
        <v>378</v>
      </c>
      <c r="B36" s="17" t="n">
        <v>3332</v>
      </c>
      <c r="C36" s="18">
        <f>(2928.0/B36*100)</f>
        <v/>
      </c>
      <c r="D36" s="19" t="n">
        <v>404</v>
      </c>
      <c r="E36" s="18" t="n">
        <v>45.66375218</v>
      </c>
      <c r="F36" s="20" t="n">
        <v>2.41958878</v>
      </c>
      <c r="G36" s="18" t="n">
        <v>51.16172358</v>
      </c>
      <c r="H36" s="20" t="n">
        <v>2.53493281</v>
      </c>
      <c r="I36" s="18" t="s">
        <v>349</v>
      </c>
      <c r="J36" s="20" t="s">
        <v>349</v>
      </c>
      <c r="K36" s="18" t="n">
        <v>1.0384088</v>
      </c>
      <c r="L36" s="20" t="n">
        <v>0.48065044</v>
      </c>
      <c r="M36" s="18" t="n">
        <v>0</v>
      </c>
      <c r="N36" s="20" t="n">
        <v>0</v>
      </c>
      <c r="O36" s="18" t="n">
        <v>0</v>
      </c>
      <c r="P36" s="20" t="n">
        <v>0</v>
      </c>
      <c r="Q36" s="18" t="n">
        <v>2.13611544</v>
      </c>
      <c r="R36" s="20" t="n">
        <v>0.8841020000000001</v>
      </c>
    </row>
    <row r="37" spans="1:18">
      <c r="A37" s="15" t="s">
        <v>379</v>
      </c>
      <c r="B37" s="17" t="n">
        <v>2727</v>
      </c>
      <c r="C37" s="18">
        <f>(2404.0/B37*100)</f>
        <v/>
      </c>
      <c r="D37" s="19" t="n">
        <v>323</v>
      </c>
      <c r="E37" s="18" t="n">
        <v>49.25445034</v>
      </c>
      <c r="F37" s="20" t="n">
        <v>2.99501297</v>
      </c>
      <c r="G37" s="18" t="n">
        <v>45.55703183</v>
      </c>
      <c r="H37" s="20" t="n">
        <v>3.13864546</v>
      </c>
      <c r="I37" s="18" t="s">
        <v>349</v>
      </c>
      <c r="J37" s="20" t="s">
        <v>349</v>
      </c>
      <c r="K37" s="18" t="n">
        <v>4.32720729</v>
      </c>
      <c r="L37" s="20" t="n">
        <v>1.2425473</v>
      </c>
      <c r="M37" s="18" t="n">
        <v>0</v>
      </c>
      <c r="N37" s="20" t="n">
        <v>0</v>
      </c>
      <c r="O37" s="18" t="n">
        <v>0</v>
      </c>
      <c r="P37" s="20" t="n">
        <v>0</v>
      </c>
      <c r="Q37" s="18" t="n">
        <v>0.86131054</v>
      </c>
      <c r="R37" s="20" t="n">
        <v>0.49174966</v>
      </c>
    </row>
    <row r="38" spans="1:18">
      <c r="A38" s="15" t="s">
        <v>380</v>
      </c>
      <c r="B38" s="17" t="n">
        <v>3053</v>
      </c>
      <c r="C38" s="18">
        <f>(2552.0/B38*100)</f>
        <v/>
      </c>
      <c r="D38" s="19" t="n">
        <v>501</v>
      </c>
      <c r="E38" s="18" t="n">
        <v>30.62921511</v>
      </c>
      <c r="F38" s="20" t="n">
        <v>2.13099198</v>
      </c>
      <c r="G38" s="18" t="n">
        <v>66.26835272</v>
      </c>
      <c r="H38" s="20" t="n">
        <v>2.3011866</v>
      </c>
      <c r="I38" s="18" t="s">
        <v>349</v>
      </c>
      <c r="J38" s="20" t="s">
        <v>349</v>
      </c>
      <c r="K38" s="18" t="n">
        <v>2.06292109</v>
      </c>
      <c r="L38" s="20" t="n">
        <v>0.65242263</v>
      </c>
      <c r="M38" s="18" t="n">
        <v>0</v>
      </c>
      <c r="N38" s="20" t="n">
        <v>0</v>
      </c>
      <c r="O38" s="18" t="n">
        <v>0</v>
      </c>
      <c r="P38" s="20" t="n">
        <v>0</v>
      </c>
      <c r="Q38" s="18" t="n">
        <v>1.03951107</v>
      </c>
      <c r="R38" s="20" t="n">
        <v>0.53468959</v>
      </c>
    </row>
    <row r="39" spans="1:18">
      <c r="A39" s="15" t="s">
        <v>381</v>
      </c>
      <c r="B39" s="17" t="n">
        <v>2957</v>
      </c>
      <c r="C39" s="18">
        <f>(2582.0/B39*100)</f>
        <v/>
      </c>
      <c r="D39" s="19" t="n">
        <v>375</v>
      </c>
      <c r="E39" s="18" t="n">
        <v>57.74994895</v>
      </c>
      <c r="F39" s="20" t="n">
        <v>3.0528854</v>
      </c>
      <c r="G39" s="18" t="n">
        <v>40.88904059</v>
      </c>
      <c r="H39" s="20" t="n">
        <v>3.07269804</v>
      </c>
      <c r="I39" s="18" t="s">
        <v>349</v>
      </c>
      <c r="J39" s="20" t="s">
        <v>349</v>
      </c>
      <c r="K39" s="18" t="n">
        <v>0.77218188</v>
      </c>
      <c r="L39" s="20" t="n">
        <v>0.47193029</v>
      </c>
      <c r="M39" s="18" t="n">
        <v>0</v>
      </c>
      <c r="N39" s="20" t="n">
        <v>0</v>
      </c>
      <c r="O39" s="18" t="n">
        <v>0</v>
      </c>
      <c r="P39" s="20" t="n">
        <v>0</v>
      </c>
      <c r="Q39" s="18" t="n">
        <v>0.58882858</v>
      </c>
      <c r="R39" s="20" t="n">
        <v>0.33568375</v>
      </c>
    </row>
    <row r="40" spans="1:18">
      <c r="A40" s="15" t="s">
        <v>382</v>
      </c>
      <c r="B40" s="17" t="n">
        <v>7235</v>
      </c>
      <c r="C40" s="18">
        <f>(6369.0/B40*100)</f>
        <v/>
      </c>
      <c r="D40" s="19" t="n">
        <v>866</v>
      </c>
      <c r="E40" s="18" t="n">
        <v>47.86662622</v>
      </c>
      <c r="F40" s="20" t="n">
        <v>2.37471271</v>
      </c>
      <c r="G40" s="18" t="n">
        <v>49.80340931</v>
      </c>
      <c r="H40" s="20" t="n">
        <v>2.06791763</v>
      </c>
      <c r="I40" s="18" t="s">
        <v>349</v>
      </c>
      <c r="J40" s="20" t="s">
        <v>349</v>
      </c>
      <c r="K40" s="18" t="n">
        <v>0.65555462</v>
      </c>
      <c r="L40" s="20" t="n">
        <v>0.31376762</v>
      </c>
      <c r="M40" s="18" t="n">
        <v>0</v>
      </c>
      <c r="N40" s="20" t="n">
        <v>0</v>
      </c>
      <c r="O40" s="18" t="n">
        <v>0</v>
      </c>
      <c r="P40" s="20" t="n">
        <v>0</v>
      </c>
      <c r="Q40" s="18" t="n">
        <v>1.67440985</v>
      </c>
      <c r="R40" s="20" t="n">
        <v>0.80872411</v>
      </c>
    </row>
    <row r="41" spans="1:18">
      <c r="A41" s="15" t="s">
        <v>383</v>
      </c>
      <c r="B41" s="17" t="n">
        <v>2858</v>
      </c>
      <c r="C41" s="18">
        <f>(2535.0/B41*100)</f>
        <v/>
      </c>
      <c r="D41" s="19" t="n">
        <v>323</v>
      </c>
      <c r="E41" s="18" t="n">
        <v>47.89606823</v>
      </c>
      <c r="F41" s="20" t="n">
        <v>3.01082759</v>
      </c>
      <c r="G41" s="18" t="n">
        <v>51.57534588</v>
      </c>
      <c r="H41" s="20" t="n">
        <v>3.00116517</v>
      </c>
      <c r="I41" s="18" t="s">
        <v>349</v>
      </c>
      <c r="J41" s="20" t="s">
        <v>349</v>
      </c>
      <c r="K41" s="18" t="n">
        <v>0</v>
      </c>
      <c r="L41" s="20" t="n">
        <v>0</v>
      </c>
      <c r="M41" s="18" t="n">
        <v>0</v>
      </c>
      <c r="N41" s="20" t="n">
        <v>0</v>
      </c>
      <c r="O41" s="18" t="n">
        <v>0</v>
      </c>
      <c r="P41" s="20" t="n">
        <v>0</v>
      </c>
      <c r="Q41" s="18" t="n">
        <v>0.52858589</v>
      </c>
      <c r="R41" s="20" t="n">
        <v>0.38486655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(4509.0/B48*100)</f>
        <v/>
      </c>
      <c r="D48" s="19" t="n">
        <v>650</v>
      </c>
      <c r="E48" s="18" t="n">
        <v>33.42049634</v>
      </c>
      <c r="F48" s="20" t="n">
        <v>2.43771354</v>
      </c>
      <c r="G48" s="18" t="n">
        <v>66.34535637</v>
      </c>
      <c r="H48" s="20" t="n">
        <v>2.47903625</v>
      </c>
      <c r="I48" s="18" t="s">
        <v>349</v>
      </c>
      <c r="J48" s="20" t="s">
        <v>349</v>
      </c>
      <c r="K48" s="18" t="n">
        <v>0.21930865</v>
      </c>
      <c r="L48" s="20" t="n">
        <v>0.20771392</v>
      </c>
      <c r="M48" s="18" t="n">
        <v>0</v>
      </c>
      <c r="N48" s="20" t="n">
        <v>0</v>
      </c>
      <c r="O48" s="18" t="n">
        <v>0</v>
      </c>
      <c r="P48" s="20" t="n">
        <v>0</v>
      </c>
      <c r="Q48" s="18" t="n">
        <v>0.01483865</v>
      </c>
      <c r="R48" s="20" t="n">
        <v>0.01001341</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(2467.0/B52*100)</f>
        <v/>
      </c>
      <c r="D52" s="19" t="n">
        <v>329</v>
      </c>
      <c r="E52" s="18" t="n">
        <v>43.39095276</v>
      </c>
      <c r="F52" s="20" t="n">
        <v>2.77650994</v>
      </c>
      <c r="G52" s="18" t="n">
        <v>54.24109183</v>
      </c>
      <c r="H52" s="20" t="n">
        <v>2.83584666</v>
      </c>
      <c r="I52" s="18" t="s">
        <v>349</v>
      </c>
      <c r="J52" s="20" t="s">
        <v>349</v>
      </c>
      <c r="K52" s="18" t="n">
        <v>1.74536312</v>
      </c>
      <c r="L52" s="20" t="n">
        <v>0.78076098</v>
      </c>
      <c r="M52" s="18" t="n">
        <v>0</v>
      </c>
      <c r="N52" s="20" t="n">
        <v>0</v>
      </c>
      <c r="O52" s="18" t="n">
        <v>0</v>
      </c>
      <c r="P52" s="20" t="n">
        <v>0</v>
      </c>
      <c r="Q52" s="18" t="n">
        <v>0.62259229</v>
      </c>
      <c r="R52" s="20" t="n">
        <v>0.45964343</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34.33379418</v>
      </c>
      <c r="F56" s="20" t="n">
        <v>3.46291468</v>
      </c>
      <c r="G56" s="18" t="n">
        <v>64.84319917000001</v>
      </c>
      <c r="H56" s="20" t="n">
        <v>3.43846105</v>
      </c>
      <c r="I56" s="18" t="s">
        <v>349</v>
      </c>
      <c r="J56" s="20" t="s">
        <v>349</v>
      </c>
      <c r="K56" s="18" t="n">
        <v>0.53494455</v>
      </c>
      <c r="L56" s="20" t="n">
        <v>0.58629277</v>
      </c>
      <c r="M56" s="18" t="n">
        <v>0</v>
      </c>
      <c r="N56" s="20" t="n">
        <v>0</v>
      </c>
      <c r="O56" s="18" t="n">
        <v>0</v>
      </c>
      <c r="P56" s="20" t="n">
        <v>0</v>
      </c>
      <c r="Q56" s="18" t="n">
        <v>0.2880621</v>
      </c>
      <c r="R56" s="20" t="n">
        <v>0.28601806</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(2889.0/B61*100)</f>
        <v/>
      </c>
      <c r="D61" s="19" t="n">
        <v>435</v>
      </c>
      <c r="E61" s="18" t="n">
        <v>51.35620441</v>
      </c>
      <c r="F61" s="20" t="n">
        <v>2.74238199</v>
      </c>
      <c r="G61" s="18" t="n">
        <v>47.44514392</v>
      </c>
      <c r="H61" s="20" t="n">
        <v>2.65800622</v>
      </c>
      <c r="I61" s="18" t="s">
        <v>349</v>
      </c>
      <c r="J61" s="20" t="s">
        <v>349</v>
      </c>
      <c r="K61" s="18" t="n">
        <v>0.68951158</v>
      </c>
      <c r="L61" s="20" t="n">
        <v>0.4601752</v>
      </c>
      <c r="M61" s="18" t="n">
        <v>0</v>
      </c>
      <c r="N61" s="20" t="n">
        <v>0</v>
      </c>
      <c r="O61" s="18" t="n">
        <v>0</v>
      </c>
      <c r="P61" s="20" t="n">
        <v>0</v>
      </c>
      <c r="Q61" s="18" t="n">
        <v>0.50914008</v>
      </c>
      <c r="R61" s="20" t="n">
        <v>0.32105046</v>
      </c>
    </row>
    <row r="62" spans="1:18">
      <c r="A62" s="15" t="s">
        <v>404</v>
      </c>
      <c r="B62" s="17" t="n">
        <v>2246</v>
      </c>
      <c r="C62" s="18">
        <f>(1969.0/B62*100)</f>
        <v/>
      </c>
      <c r="D62" s="19" t="n">
        <v>277</v>
      </c>
      <c r="E62" s="18" t="n">
        <v>36.07268152</v>
      </c>
      <c r="F62" s="20" t="n">
        <v>2.79268557</v>
      </c>
      <c r="G62" s="18" t="n">
        <v>63.5688456</v>
      </c>
      <c r="H62" s="20" t="n">
        <v>2.83462365</v>
      </c>
      <c r="I62" s="18" t="s">
        <v>349</v>
      </c>
      <c r="J62" s="20" t="s">
        <v>349</v>
      </c>
      <c r="K62" s="18" t="n">
        <v>0</v>
      </c>
      <c r="L62" s="20" t="n">
        <v>0</v>
      </c>
      <c r="M62" s="18" t="n">
        <v>0</v>
      </c>
      <c r="N62" s="20" t="n">
        <v>0</v>
      </c>
      <c r="O62" s="18" t="n">
        <v>0</v>
      </c>
      <c r="P62" s="20" t="n">
        <v>0</v>
      </c>
      <c r="Q62" s="18" t="n">
        <v>0.35847288</v>
      </c>
      <c r="R62" s="20" t="n">
        <v>0.36049335</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(2531.0/B66*100)</f>
        <v/>
      </c>
      <c r="D66" s="19" t="n">
        <v>363</v>
      </c>
      <c r="E66" s="18" t="n">
        <v>47.11332489</v>
      </c>
      <c r="F66" s="20" t="n">
        <v>2.54838731</v>
      </c>
      <c r="G66" s="18" t="n">
        <v>49.16038435</v>
      </c>
      <c r="H66" s="20" t="n">
        <v>2.63154891</v>
      </c>
      <c r="I66" s="18" t="s">
        <v>349</v>
      </c>
      <c r="J66" s="20" t="s">
        <v>349</v>
      </c>
      <c r="K66" s="18" t="n">
        <v>2.08194351</v>
      </c>
      <c r="L66" s="20" t="n">
        <v>0.73751427</v>
      </c>
      <c r="M66" s="18" t="n">
        <v>0</v>
      </c>
      <c r="N66" s="20" t="n">
        <v>0</v>
      </c>
      <c r="O66" s="18" t="n">
        <v>0</v>
      </c>
      <c r="P66" s="20" t="n">
        <v>0</v>
      </c>
      <c r="Q66" s="18" t="n">
        <v>1.64434724</v>
      </c>
      <c r="R66" s="20" t="n">
        <v>0.67007975</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(5028.0/B68*100)</f>
        <v/>
      </c>
      <c r="D68" s="19" t="n">
        <v>1021</v>
      </c>
      <c r="E68" s="18" t="n">
        <v>60.84308057</v>
      </c>
      <c r="F68" s="20" t="n">
        <v>1.21537402</v>
      </c>
      <c r="G68" s="18" t="n">
        <v>34.01563351</v>
      </c>
      <c r="H68" s="20" t="n">
        <v>1.34110286</v>
      </c>
      <c r="I68" s="18" t="s">
        <v>349</v>
      </c>
      <c r="J68" s="20" t="s">
        <v>349</v>
      </c>
      <c r="K68" s="18" t="n">
        <v>3.96233364</v>
      </c>
      <c r="L68" s="20" t="n">
        <v>0.55002204</v>
      </c>
      <c r="M68" s="18" t="n">
        <v>0</v>
      </c>
      <c r="N68" s="20" t="n">
        <v>0</v>
      </c>
      <c r="O68" s="18" t="n">
        <v>0</v>
      </c>
      <c r="P68" s="20" t="n">
        <v>0</v>
      </c>
      <c r="Q68" s="18" t="n">
        <v>1.17895229</v>
      </c>
      <c r="R68" s="20" t="n">
        <v>0.31679818</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(2569.0/B70*100)</f>
        <v/>
      </c>
      <c r="D70" s="19" t="n">
        <v>360</v>
      </c>
      <c r="E70" s="18" t="n">
        <v>43.13563252</v>
      </c>
      <c r="F70" s="20" t="n">
        <v>2.63355338</v>
      </c>
      <c r="G70" s="18" t="n">
        <v>54.18166968</v>
      </c>
      <c r="H70" s="20" t="n">
        <v>2.63621027</v>
      </c>
      <c r="I70" s="18" t="s">
        <v>349</v>
      </c>
      <c r="J70" s="20" t="s">
        <v>349</v>
      </c>
      <c r="K70" s="18" t="n">
        <v>0.14564605</v>
      </c>
      <c r="L70" s="20" t="n">
        <v>0.10392136</v>
      </c>
      <c r="M70" s="18" t="n">
        <v>0</v>
      </c>
      <c r="N70" s="20" t="n">
        <v>0</v>
      </c>
      <c r="O70" s="18" t="n">
        <v>0</v>
      </c>
      <c r="P70" s="20" t="n">
        <v>0</v>
      </c>
      <c r="Q70" s="18" t="n">
        <v>2.53705175</v>
      </c>
      <c r="R70" s="20" t="n">
        <v>1.08509371</v>
      </c>
    </row>
    <row r="71" spans="1:18">
      <c r="A71" s="15" t="s">
        <v>413</v>
      </c>
      <c r="B71" s="17" t="n">
        <v>3142</v>
      </c>
      <c r="C71" s="18">
        <f>(2753.0/B71*100)</f>
        <v/>
      </c>
      <c r="D71" s="19" t="n">
        <v>389</v>
      </c>
      <c r="E71" s="18" t="n">
        <v>29.78623889</v>
      </c>
      <c r="F71" s="20" t="n">
        <v>2.30655404</v>
      </c>
      <c r="G71" s="18" t="n">
        <v>69.34781056999999</v>
      </c>
      <c r="H71" s="20" t="n">
        <v>2.36618641</v>
      </c>
      <c r="I71" s="18" t="s">
        <v>349</v>
      </c>
      <c r="J71" s="20" t="s">
        <v>349</v>
      </c>
      <c r="K71" s="18" t="n">
        <v>0.39657845</v>
      </c>
      <c r="L71" s="20" t="n">
        <v>0.2866553</v>
      </c>
      <c r="M71" s="18" t="n">
        <v>0</v>
      </c>
      <c r="N71" s="20" t="n">
        <v>0</v>
      </c>
      <c r="O71" s="18" t="n">
        <v>0</v>
      </c>
      <c r="P71" s="20" t="n">
        <v>0</v>
      </c>
      <c r="Q71" s="18" t="n">
        <v>0.46937209</v>
      </c>
      <c r="R71" s="20" t="n">
        <v>0.3376387</v>
      </c>
    </row>
    <row r="72" spans="1:18">
      <c r="A72" s="15" t="s">
        <v>414</v>
      </c>
      <c r="B72" s="17" t="n">
        <v>3889</v>
      </c>
      <c r="C72" s="18">
        <f>(3416.0/B72*100)</f>
        <v/>
      </c>
      <c r="D72" s="19" t="n">
        <v>473</v>
      </c>
      <c r="E72" s="18" t="n">
        <v>32.77120689</v>
      </c>
      <c r="F72" s="20" t="n">
        <v>2.27003896</v>
      </c>
      <c r="G72" s="18" t="n">
        <v>66.72899518</v>
      </c>
      <c r="H72" s="20" t="n">
        <v>2.24313603</v>
      </c>
      <c r="I72" s="18" t="s">
        <v>349</v>
      </c>
      <c r="J72" s="20" t="s">
        <v>349</v>
      </c>
      <c r="K72" s="18" t="n">
        <v>0.49979793</v>
      </c>
      <c r="L72" s="20" t="n">
        <v>0.32612358</v>
      </c>
      <c r="M72" s="18" t="n">
        <v>0</v>
      </c>
      <c r="N72" s="20" t="n">
        <v>0</v>
      </c>
      <c r="O72" s="18" t="n">
        <v>0</v>
      </c>
      <c r="P72" s="20" t="n">
        <v>0</v>
      </c>
      <c r="Q72" s="18" t="n">
        <v>0</v>
      </c>
      <c r="R72" s="20" t="n">
        <v>0</v>
      </c>
    </row>
    <row r="73" spans="1:18">
      <c r="A73" s="15" t="s">
        <v>415</v>
      </c>
      <c r="B73" s="17" t="n">
        <v>3597</v>
      </c>
      <c r="C73" s="18">
        <f>(3136.0/B73*100)</f>
        <v/>
      </c>
      <c r="D73" s="19" t="n">
        <v>461</v>
      </c>
      <c r="E73" s="18" t="n">
        <v>55.23696127</v>
      </c>
      <c r="F73" s="20" t="n">
        <v>3.27903789</v>
      </c>
      <c r="G73" s="18" t="n">
        <v>44.76303873</v>
      </c>
      <c r="H73" s="20" t="n">
        <v>3.27903789</v>
      </c>
      <c r="I73" s="18" t="s">
        <v>349</v>
      </c>
      <c r="J73" s="20" t="s">
        <v>349</v>
      </c>
      <c r="K73" s="18" t="n">
        <v>0</v>
      </c>
      <c r="L73" s="20" t="n">
        <v>0</v>
      </c>
      <c r="M73" s="18" t="n">
        <v>0</v>
      </c>
      <c r="N73" s="20" t="n">
        <v>0</v>
      </c>
      <c r="O73" s="18" t="n">
        <v>0</v>
      </c>
      <c r="P73" s="20" t="n">
        <v>0</v>
      </c>
      <c r="Q73" s="18" t="n">
        <v>0</v>
      </c>
      <c r="R73" s="20" t="n">
        <v>0</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(3648.0/B81*100)</f>
        <v/>
      </c>
      <c r="D81" s="19" t="n">
        <v>515</v>
      </c>
      <c r="E81" s="18" t="n">
        <v>59.83746251</v>
      </c>
      <c r="F81" s="20" t="n">
        <v>2.82741517</v>
      </c>
      <c r="G81" s="18" t="n">
        <v>39.85764458</v>
      </c>
      <c r="H81" s="20" t="n">
        <v>2.95470979</v>
      </c>
      <c r="I81" s="18" t="s">
        <v>349</v>
      </c>
      <c r="J81" s="20" t="s">
        <v>349</v>
      </c>
      <c r="K81" s="18" t="n">
        <v>0.0198086</v>
      </c>
      <c r="L81" s="20" t="n">
        <v>0.6718295</v>
      </c>
      <c r="M81" s="18" t="n">
        <v>0</v>
      </c>
      <c r="N81" s="20" t="n">
        <v>0</v>
      </c>
      <c r="O81" s="18" t="n">
        <v>0</v>
      </c>
      <c r="P81" s="20" t="n">
        <v>0</v>
      </c>
      <c r="Q81" s="18" t="n">
        <v>0.28508431</v>
      </c>
      <c r="R81" s="20" t="n">
        <v>0.28122736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(6490.0/B7*100)</f>
        <v/>
      </c>
      <c r="D7" s="19" t="n">
        <v>877</v>
      </c>
      <c r="E7" s="18" t="n">
        <v>80.03200114000001</v>
      </c>
      <c r="F7" s="20" t="n">
        <v>1.47062594</v>
      </c>
      <c r="G7" s="18" t="n">
        <v>3.12065865</v>
      </c>
      <c r="H7" s="20" t="n">
        <v>0.6776811700000001</v>
      </c>
      <c r="I7" s="18" t="s">
        <v>349</v>
      </c>
      <c r="J7" s="20" t="s">
        <v>349</v>
      </c>
      <c r="K7" s="18" t="n">
        <v>3.06910396</v>
      </c>
      <c r="L7" s="20" t="n">
        <v>0.79804652</v>
      </c>
      <c r="M7" s="18" t="n">
        <v>0</v>
      </c>
      <c r="N7" s="20" t="n">
        <v>0</v>
      </c>
      <c r="O7" s="18" t="n">
        <v>0</v>
      </c>
      <c r="P7" s="20" t="n">
        <v>0</v>
      </c>
      <c r="Q7" s="18" t="n">
        <v>13.77823625</v>
      </c>
      <c r="R7" s="20" t="n">
        <v>1.24559018</v>
      </c>
    </row>
    <row r="8" spans="1:18">
      <c r="A8" s="15" t="s">
        <v>350</v>
      </c>
      <c r="B8" s="17" t="n">
        <v>3564</v>
      </c>
      <c r="C8" s="18">
        <f>(3159.0/B8*100)</f>
        <v/>
      </c>
      <c r="D8" s="19" t="n">
        <v>405</v>
      </c>
      <c r="E8" s="18" t="n">
        <v>69.93551225</v>
      </c>
      <c r="F8" s="20" t="n">
        <v>2.18047777</v>
      </c>
      <c r="G8" s="18" t="n">
        <v>5.14857817</v>
      </c>
      <c r="H8" s="20" t="n">
        <v>1.14979014</v>
      </c>
      <c r="I8" s="18" t="s">
        <v>349</v>
      </c>
      <c r="J8" s="20" t="s">
        <v>349</v>
      </c>
      <c r="K8" s="18" t="n">
        <v>4.8644719</v>
      </c>
      <c r="L8" s="20" t="n">
        <v>1.49626048</v>
      </c>
      <c r="M8" s="18" t="n">
        <v>0</v>
      </c>
      <c r="N8" s="20" t="n">
        <v>0</v>
      </c>
      <c r="O8" s="18" t="n">
        <v>0</v>
      </c>
      <c r="P8" s="20" t="n">
        <v>0</v>
      </c>
      <c r="Q8" s="18" t="n">
        <v>20.05143768</v>
      </c>
      <c r="R8" s="20" t="n">
        <v>2.07846708</v>
      </c>
    </row>
    <row r="9" spans="1:18">
      <c r="A9" s="15" t="s">
        <v>351</v>
      </c>
      <c r="B9" s="17" t="n">
        <v>4899</v>
      </c>
      <c r="C9" s="18">
        <f>(4314.0/B9*100)</f>
        <v/>
      </c>
      <c r="D9" s="19" t="n">
        <v>585</v>
      </c>
      <c r="E9" s="18" t="n">
        <v>73.5418444</v>
      </c>
      <c r="F9" s="20" t="n">
        <v>2.01075676</v>
      </c>
      <c r="G9" s="18" t="n">
        <v>6.14977581</v>
      </c>
      <c r="H9" s="20" t="n">
        <v>0.93799</v>
      </c>
      <c r="I9" s="18" t="s">
        <v>349</v>
      </c>
      <c r="J9" s="20" t="s">
        <v>349</v>
      </c>
      <c r="K9" s="18" t="n">
        <v>2.76589008</v>
      </c>
      <c r="L9" s="20" t="n">
        <v>0.73652269</v>
      </c>
      <c r="M9" s="18" t="n">
        <v>0</v>
      </c>
      <c r="N9" s="20" t="n">
        <v>0</v>
      </c>
      <c r="O9" s="18" t="n">
        <v>0</v>
      </c>
      <c r="P9" s="20" t="n">
        <v>0</v>
      </c>
      <c r="Q9" s="18" t="n">
        <v>17.54248971</v>
      </c>
      <c r="R9" s="20" t="n">
        <v>1.8882973</v>
      </c>
    </row>
    <row r="10" spans="1:18">
      <c r="A10" s="15" t="s">
        <v>352</v>
      </c>
      <c r="B10" s="17" t="n">
        <v>10036</v>
      </c>
      <c r="C10" s="18">
        <f>(8813.0/B10*100)</f>
        <v/>
      </c>
      <c r="D10" s="19" t="n">
        <v>1223</v>
      </c>
      <c r="E10" s="18" t="n">
        <v>82.06791912</v>
      </c>
      <c r="F10" s="20" t="n">
        <v>1.65272338</v>
      </c>
      <c r="G10" s="18" t="n">
        <v>3.34270791</v>
      </c>
      <c r="H10" s="20" t="n">
        <v>0.71313077</v>
      </c>
      <c r="I10" s="18" t="s">
        <v>349</v>
      </c>
      <c r="J10" s="20" t="s">
        <v>349</v>
      </c>
      <c r="K10" s="18" t="n">
        <v>2.26240784</v>
      </c>
      <c r="L10" s="20" t="n">
        <v>0.60346792</v>
      </c>
      <c r="M10" s="18" t="n">
        <v>0</v>
      </c>
      <c r="N10" s="20" t="n">
        <v>0</v>
      </c>
      <c r="O10" s="18" t="n">
        <v>0</v>
      </c>
      <c r="P10" s="20" t="n">
        <v>0</v>
      </c>
      <c r="Q10" s="18" t="n">
        <v>12.32696513</v>
      </c>
      <c r="R10" s="20" t="n">
        <v>1.39805798</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(3063.0/B12*100)</f>
        <v/>
      </c>
      <c r="D12" s="19" t="n">
        <v>409</v>
      </c>
      <c r="E12" s="18" t="n">
        <v>84.14907504</v>
      </c>
      <c r="F12" s="20" t="n">
        <v>1.76154709</v>
      </c>
      <c r="G12" s="18" t="n">
        <v>3.12536252</v>
      </c>
      <c r="H12" s="20" t="n">
        <v>0.66805907</v>
      </c>
      <c r="I12" s="18" t="s">
        <v>349</v>
      </c>
      <c r="J12" s="20" t="s">
        <v>349</v>
      </c>
      <c r="K12" s="18" t="n">
        <v>1.37847533</v>
      </c>
      <c r="L12" s="20" t="n">
        <v>0.62121248</v>
      </c>
      <c r="M12" s="18" t="n">
        <v>0</v>
      </c>
      <c r="N12" s="20" t="n">
        <v>0</v>
      </c>
      <c r="O12" s="18" t="n">
        <v>0</v>
      </c>
      <c r="P12" s="20" t="n">
        <v>0</v>
      </c>
      <c r="Q12" s="18" t="n">
        <v>11.34708711</v>
      </c>
      <c r="R12" s="20" t="n">
        <v>1.73253562</v>
      </c>
    </row>
    <row r="13" spans="1:18">
      <c r="A13" s="15" t="s">
        <v>355</v>
      </c>
      <c r="B13" s="17" t="n">
        <v>3559</v>
      </c>
      <c r="C13" s="18">
        <f>(3143.0/B13*100)</f>
        <v/>
      </c>
      <c r="D13" s="19" t="n">
        <v>416</v>
      </c>
      <c r="E13" s="18" t="n">
        <v>88.61962697</v>
      </c>
      <c r="F13" s="20" t="n">
        <v>1.68849461</v>
      </c>
      <c r="G13" s="18" t="n">
        <v>1.19146977</v>
      </c>
      <c r="H13" s="20" t="n">
        <v>0.59027729</v>
      </c>
      <c r="I13" s="18" t="s">
        <v>349</v>
      </c>
      <c r="J13" s="20" t="s">
        <v>349</v>
      </c>
      <c r="K13" s="18" t="n">
        <v>1.87702993</v>
      </c>
      <c r="L13" s="20" t="n">
        <v>0.77238863</v>
      </c>
      <c r="M13" s="18" t="n">
        <v>0</v>
      </c>
      <c r="N13" s="20" t="n">
        <v>0</v>
      </c>
      <c r="O13" s="18" t="n">
        <v>0</v>
      </c>
      <c r="P13" s="20" t="n">
        <v>0</v>
      </c>
      <c r="Q13" s="18" t="n">
        <v>8.311873329999999</v>
      </c>
      <c r="R13" s="20" t="n">
        <v>1.49925149</v>
      </c>
    </row>
    <row r="14" spans="1:18">
      <c r="A14" s="15" t="s">
        <v>356</v>
      </c>
      <c r="B14" s="17" t="n">
        <v>2799</v>
      </c>
      <c r="C14" s="18">
        <f>(2421.0/B14*100)</f>
        <v/>
      </c>
      <c r="D14" s="19" t="n">
        <v>378</v>
      </c>
      <c r="E14" s="18" t="n">
        <v>81.32912976</v>
      </c>
      <c r="F14" s="20" t="n">
        <v>2.39294625</v>
      </c>
      <c r="G14" s="18" t="n">
        <v>5.69804746</v>
      </c>
      <c r="H14" s="20" t="n">
        <v>1.39037048</v>
      </c>
      <c r="I14" s="18" t="s">
        <v>349</v>
      </c>
      <c r="J14" s="20" t="s">
        <v>349</v>
      </c>
      <c r="K14" s="18" t="n">
        <v>1.17929162</v>
      </c>
      <c r="L14" s="20" t="n">
        <v>0.48844713</v>
      </c>
      <c r="M14" s="18" t="n">
        <v>0</v>
      </c>
      <c r="N14" s="20" t="n">
        <v>0</v>
      </c>
      <c r="O14" s="18" t="n">
        <v>0</v>
      </c>
      <c r="P14" s="20" t="n">
        <v>0</v>
      </c>
      <c r="Q14" s="18" t="n">
        <v>11.79353117</v>
      </c>
      <c r="R14" s="20" t="n">
        <v>1.87096751</v>
      </c>
    </row>
    <row r="15" spans="1:18">
      <c r="A15" s="15" t="s">
        <v>357</v>
      </c>
      <c r="B15" s="17" t="n">
        <v>3019</v>
      </c>
      <c r="C15" s="18">
        <f>(2645.0/B15*100)</f>
        <v/>
      </c>
      <c r="D15" s="19" t="n">
        <v>374</v>
      </c>
      <c r="E15" s="18" t="n">
        <v>80.50165257</v>
      </c>
      <c r="F15" s="20" t="n">
        <v>2.05450448</v>
      </c>
      <c r="G15" s="18" t="n">
        <v>1.72004371</v>
      </c>
      <c r="H15" s="20" t="n">
        <v>0.65793998</v>
      </c>
      <c r="I15" s="18" t="s">
        <v>349</v>
      </c>
      <c r="J15" s="20" t="s">
        <v>349</v>
      </c>
      <c r="K15" s="18" t="n">
        <v>1.48181457</v>
      </c>
      <c r="L15" s="20" t="n">
        <v>0.61765402</v>
      </c>
      <c r="M15" s="18" t="n">
        <v>0</v>
      </c>
      <c r="N15" s="20" t="n">
        <v>0</v>
      </c>
      <c r="O15" s="18" t="n">
        <v>0</v>
      </c>
      <c r="P15" s="20" t="n">
        <v>0</v>
      </c>
      <c r="Q15" s="18" t="n">
        <v>16.29648916</v>
      </c>
      <c r="R15" s="20" t="n">
        <v>1.92461847</v>
      </c>
    </row>
    <row r="16" spans="1:18">
      <c r="A16" s="15" t="s">
        <v>358</v>
      </c>
      <c r="B16" s="17" t="n">
        <v>2997</v>
      </c>
      <c r="C16" s="18">
        <f>(2612.0/B16*100)</f>
        <v/>
      </c>
      <c r="D16" s="19" t="n">
        <v>385</v>
      </c>
      <c r="E16" s="18" t="n">
        <v>70.69396561000001</v>
      </c>
      <c r="F16" s="20" t="n">
        <v>2.57734888</v>
      </c>
      <c r="G16" s="18" t="n">
        <v>1.64751313</v>
      </c>
      <c r="H16" s="20" t="n">
        <v>0.7024674</v>
      </c>
      <c r="I16" s="18" t="s">
        <v>349</v>
      </c>
      <c r="J16" s="20" t="s">
        <v>349</v>
      </c>
      <c r="K16" s="18" t="n">
        <v>8.21594447</v>
      </c>
      <c r="L16" s="20" t="n">
        <v>1.45537424</v>
      </c>
      <c r="M16" s="18" t="n">
        <v>0</v>
      </c>
      <c r="N16" s="20" t="n">
        <v>0</v>
      </c>
      <c r="O16" s="18" t="n">
        <v>0</v>
      </c>
      <c r="P16" s="20" t="n">
        <v>0</v>
      </c>
      <c r="Q16" s="18" t="n">
        <v>19.44257679</v>
      </c>
      <c r="R16" s="20" t="n">
        <v>2.05320396</v>
      </c>
    </row>
    <row r="17" spans="1:18">
      <c r="A17" s="15" t="s">
        <v>359</v>
      </c>
      <c r="B17" s="17" t="n">
        <v>3307</v>
      </c>
      <c r="C17" s="18">
        <f>(2914.0/B17*100)</f>
        <v/>
      </c>
      <c r="D17" s="19" t="n">
        <v>393</v>
      </c>
      <c r="E17" s="18" t="n">
        <v>68.20001546</v>
      </c>
      <c r="F17" s="20" t="n">
        <v>2.51830531</v>
      </c>
      <c r="G17" s="18" t="n">
        <v>4.07048854</v>
      </c>
      <c r="H17" s="20" t="n">
        <v>0.97485672</v>
      </c>
      <c r="I17" s="18" t="s">
        <v>349</v>
      </c>
      <c r="J17" s="20" t="s">
        <v>349</v>
      </c>
      <c r="K17" s="18" t="n">
        <v>2.88270013</v>
      </c>
      <c r="L17" s="20" t="n">
        <v>0.851895</v>
      </c>
      <c r="M17" s="18" t="n">
        <v>0</v>
      </c>
      <c r="N17" s="20" t="n">
        <v>0</v>
      </c>
      <c r="O17" s="18" t="n">
        <v>0</v>
      </c>
      <c r="P17" s="20" t="n">
        <v>0</v>
      </c>
      <c r="Q17" s="18" t="n">
        <v>24.84679588</v>
      </c>
      <c r="R17" s="20" t="n">
        <v>2.28117217</v>
      </c>
    </row>
    <row r="18" spans="1:18">
      <c r="A18" s="15" t="s">
        <v>360</v>
      </c>
      <c r="B18" s="17" t="n">
        <v>2826</v>
      </c>
      <c r="C18" s="18">
        <f>(2453.0/B18*100)</f>
        <v/>
      </c>
      <c r="D18" s="19" t="n">
        <v>373</v>
      </c>
      <c r="E18" s="18" t="n">
        <v>80.65792174000001</v>
      </c>
      <c r="F18" s="20" t="n">
        <v>2.02449712</v>
      </c>
      <c r="G18" s="18" t="n">
        <v>2.27665515</v>
      </c>
      <c r="H18" s="20" t="n">
        <v>0.93386549</v>
      </c>
      <c r="I18" s="18" t="s">
        <v>349</v>
      </c>
      <c r="J18" s="20" t="s">
        <v>349</v>
      </c>
      <c r="K18" s="18" t="n">
        <v>2.82894795</v>
      </c>
      <c r="L18" s="20" t="n">
        <v>0.94532629</v>
      </c>
      <c r="M18" s="18" t="n">
        <v>0</v>
      </c>
      <c r="N18" s="20" t="n">
        <v>0</v>
      </c>
      <c r="O18" s="18" t="n">
        <v>0</v>
      </c>
      <c r="P18" s="20" t="n">
        <v>0</v>
      </c>
      <c r="Q18" s="18" t="n">
        <v>14.23647515</v>
      </c>
      <c r="R18" s="20" t="n">
        <v>1.7685554</v>
      </c>
    </row>
    <row r="19" spans="1:18">
      <c r="A19" s="15" t="s">
        <v>361</v>
      </c>
      <c r="B19" s="17" t="n">
        <v>2808</v>
      </c>
      <c r="C19" s="18">
        <f>(2481.0/B19*100)</f>
        <v/>
      </c>
      <c r="D19" s="19" t="n">
        <v>327</v>
      </c>
      <c r="E19" s="18" t="n">
        <v>75.17926509999999</v>
      </c>
      <c r="F19" s="20" t="n">
        <v>2.44950818</v>
      </c>
      <c r="G19" s="18" t="n">
        <v>3.58057693</v>
      </c>
      <c r="H19" s="20" t="n">
        <v>1.0772732</v>
      </c>
      <c r="I19" s="18" t="s">
        <v>349</v>
      </c>
      <c r="J19" s="20" t="s">
        <v>349</v>
      </c>
      <c r="K19" s="18" t="n">
        <v>0.75565905</v>
      </c>
      <c r="L19" s="20" t="n">
        <v>0.43586509</v>
      </c>
      <c r="M19" s="18" t="n">
        <v>0</v>
      </c>
      <c r="N19" s="20" t="n">
        <v>0</v>
      </c>
      <c r="O19" s="18" t="n">
        <v>0</v>
      </c>
      <c r="P19" s="20" t="n">
        <v>0</v>
      </c>
      <c r="Q19" s="18" t="n">
        <v>20.48449892</v>
      </c>
      <c r="R19" s="20" t="n">
        <v>2.28132614</v>
      </c>
    </row>
    <row r="20" spans="1:18">
      <c r="A20" s="15" t="s">
        <v>362</v>
      </c>
      <c r="B20" s="17" t="n">
        <v>1630</v>
      </c>
      <c r="C20" s="18">
        <f>(1430.0/B20*100)</f>
        <v/>
      </c>
      <c r="D20" s="19" t="n">
        <v>200</v>
      </c>
      <c r="E20" s="18" t="n">
        <v>75.48598812</v>
      </c>
      <c r="F20" s="20" t="n">
        <v>3.19488201</v>
      </c>
      <c r="G20" s="18" t="n">
        <v>0.46830818</v>
      </c>
      <c r="H20" s="20" t="n">
        <v>0.47013354</v>
      </c>
      <c r="I20" s="18" t="s">
        <v>349</v>
      </c>
      <c r="J20" s="20" t="s">
        <v>349</v>
      </c>
      <c r="K20" s="18" t="n">
        <v>7.20027356</v>
      </c>
      <c r="L20" s="20" t="n">
        <v>1.69730185</v>
      </c>
      <c r="M20" s="18" t="n">
        <v>0</v>
      </c>
      <c r="N20" s="20" t="n">
        <v>0</v>
      </c>
      <c r="O20" s="18" t="n">
        <v>0</v>
      </c>
      <c r="P20" s="20" t="n">
        <v>0</v>
      </c>
      <c r="Q20" s="18" t="n">
        <v>16.84543015</v>
      </c>
      <c r="R20" s="20" t="n">
        <v>2.70849026</v>
      </c>
    </row>
    <row r="21" spans="1:18">
      <c r="A21" s="15" t="s">
        <v>363</v>
      </c>
      <c r="B21" s="17" t="n">
        <v>2908</v>
      </c>
      <c r="C21" s="18">
        <f>(2422.0/B21*100)</f>
        <v/>
      </c>
      <c r="D21" s="19" t="n">
        <v>486</v>
      </c>
      <c r="E21" s="18" t="n">
        <v>79.87201724000001</v>
      </c>
      <c r="F21" s="20" t="n">
        <v>1.91782531</v>
      </c>
      <c r="G21" s="18" t="n">
        <v>2.05255186</v>
      </c>
      <c r="H21" s="20" t="n">
        <v>0.67510187</v>
      </c>
      <c r="I21" s="18" t="s">
        <v>349</v>
      </c>
      <c r="J21" s="20" t="s">
        <v>349</v>
      </c>
      <c r="K21" s="18" t="n">
        <v>2.32898082</v>
      </c>
      <c r="L21" s="20" t="n">
        <v>0.82078074</v>
      </c>
      <c r="M21" s="18" t="n">
        <v>0</v>
      </c>
      <c r="N21" s="20" t="n">
        <v>0</v>
      </c>
      <c r="O21" s="18" t="n">
        <v>0</v>
      </c>
      <c r="P21" s="20" t="n">
        <v>0</v>
      </c>
      <c r="Q21" s="18" t="n">
        <v>15.74645008</v>
      </c>
      <c r="R21" s="20" t="n">
        <v>1.65453086</v>
      </c>
    </row>
    <row r="22" spans="1:18">
      <c r="A22" s="15" t="s">
        <v>364</v>
      </c>
      <c r="B22" s="17" t="n">
        <v>2931</v>
      </c>
      <c r="C22" s="18">
        <f>(2572.0/B22*100)</f>
        <v/>
      </c>
      <c r="D22" s="19" t="n">
        <v>359</v>
      </c>
      <c r="E22" s="18" t="n">
        <v>76.72274704</v>
      </c>
      <c r="F22" s="20" t="n">
        <v>2.81671821</v>
      </c>
      <c r="G22" s="18" t="n">
        <v>2.37423577</v>
      </c>
      <c r="H22" s="20" t="n">
        <v>0.65786184</v>
      </c>
      <c r="I22" s="18" t="s">
        <v>349</v>
      </c>
      <c r="J22" s="20" t="s">
        <v>349</v>
      </c>
      <c r="K22" s="18" t="n">
        <v>4.76555575</v>
      </c>
      <c r="L22" s="20" t="n">
        <v>1.26834638</v>
      </c>
      <c r="M22" s="18" t="n">
        <v>0</v>
      </c>
      <c r="N22" s="20" t="n">
        <v>0</v>
      </c>
      <c r="O22" s="18" t="n">
        <v>0</v>
      </c>
      <c r="P22" s="20" t="n">
        <v>0</v>
      </c>
      <c r="Q22" s="18" t="n">
        <v>16.13746144</v>
      </c>
      <c r="R22" s="20" t="n">
        <v>2.00679103</v>
      </c>
    </row>
    <row r="23" spans="1:18">
      <c r="A23" s="15" t="s">
        <v>365</v>
      </c>
      <c r="B23" s="17" t="n">
        <v>5791</v>
      </c>
      <c r="C23" s="18">
        <f>(5097.0/B23*100)</f>
        <v/>
      </c>
      <c r="D23" s="19" t="n">
        <v>694</v>
      </c>
      <c r="E23" s="18" t="n">
        <v>68.72965739999999</v>
      </c>
      <c r="F23" s="20" t="n">
        <v>2.41258932</v>
      </c>
      <c r="G23" s="18" t="n">
        <v>6.30216078</v>
      </c>
      <c r="H23" s="20" t="n">
        <v>1.34394258</v>
      </c>
      <c r="I23" s="18" t="s">
        <v>349</v>
      </c>
      <c r="J23" s="20" t="s">
        <v>349</v>
      </c>
      <c r="K23" s="18" t="n">
        <v>5.03720124</v>
      </c>
      <c r="L23" s="20" t="n">
        <v>1.11299768</v>
      </c>
      <c r="M23" s="18" t="n">
        <v>0</v>
      </c>
      <c r="N23" s="20" t="n">
        <v>0</v>
      </c>
      <c r="O23" s="18" t="n">
        <v>0</v>
      </c>
      <c r="P23" s="20" t="n">
        <v>0</v>
      </c>
      <c r="Q23" s="18" t="n">
        <v>19.93098058</v>
      </c>
      <c r="R23" s="20" t="n">
        <v>2.04723735</v>
      </c>
    </row>
    <row r="24" spans="1:18">
      <c r="A24" s="15" t="s">
        <v>366</v>
      </c>
      <c r="B24" s="17" t="n">
        <v>3338</v>
      </c>
      <c r="C24" s="18">
        <f>(2916.0/B24*100)</f>
        <v/>
      </c>
      <c r="D24" s="19" t="n">
        <v>422</v>
      </c>
      <c r="E24" s="18" t="n">
        <v>44.7952849</v>
      </c>
      <c r="F24" s="20" t="n">
        <v>2.41368296</v>
      </c>
      <c r="G24" s="18" t="n">
        <v>15.18378405</v>
      </c>
      <c r="H24" s="20" t="n">
        <v>2.02946281</v>
      </c>
      <c r="I24" s="18" t="s">
        <v>349</v>
      </c>
      <c r="J24" s="20" t="s">
        <v>349</v>
      </c>
      <c r="K24" s="18" t="n">
        <v>4.23523042</v>
      </c>
      <c r="L24" s="20" t="n">
        <v>1.19174449</v>
      </c>
      <c r="M24" s="18" t="n">
        <v>0</v>
      </c>
      <c r="N24" s="20" t="n">
        <v>0</v>
      </c>
      <c r="O24" s="18" t="n">
        <v>0</v>
      </c>
      <c r="P24" s="20" t="n">
        <v>0</v>
      </c>
      <c r="Q24" s="18" t="n">
        <v>35.78570063</v>
      </c>
      <c r="R24" s="20" t="n">
        <v>2.31216165</v>
      </c>
    </row>
    <row r="25" spans="1:18">
      <c r="A25" s="15" t="s">
        <v>367</v>
      </c>
      <c r="B25" s="17" t="n">
        <v>2912</v>
      </c>
      <c r="C25" s="18">
        <f>(2542.0/B25*100)</f>
        <v/>
      </c>
      <c r="D25" s="19" t="n">
        <v>370</v>
      </c>
      <c r="E25" s="18" t="n">
        <v>56.50428559</v>
      </c>
      <c r="F25" s="20" t="n">
        <v>2.74493666</v>
      </c>
      <c r="G25" s="18" t="n">
        <v>15.08903337</v>
      </c>
      <c r="H25" s="20" t="n">
        <v>2.45235525</v>
      </c>
      <c r="I25" s="18" t="s">
        <v>349</v>
      </c>
      <c r="J25" s="20" t="s">
        <v>349</v>
      </c>
      <c r="K25" s="18" t="n">
        <v>4.33292992</v>
      </c>
      <c r="L25" s="20" t="n">
        <v>1.09830574</v>
      </c>
      <c r="M25" s="18" t="n">
        <v>0</v>
      </c>
      <c r="N25" s="20" t="n">
        <v>0</v>
      </c>
      <c r="O25" s="18" t="n">
        <v>0</v>
      </c>
      <c r="P25" s="20" t="n">
        <v>0</v>
      </c>
      <c r="Q25" s="18" t="n">
        <v>24.07375111</v>
      </c>
      <c r="R25" s="20" t="n">
        <v>2.25624188</v>
      </c>
    </row>
    <row r="26" spans="1:18">
      <c r="A26" s="15" t="s">
        <v>368</v>
      </c>
      <c r="B26" s="17" t="n">
        <v>2450</v>
      </c>
      <c r="C26" s="18">
        <f>(2163.0/B26*100)</f>
        <v/>
      </c>
      <c r="D26" s="19" t="n">
        <v>287</v>
      </c>
      <c r="E26" s="18" t="n">
        <v>77.25814837999999</v>
      </c>
      <c r="F26" s="20" t="n">
        <v>2.29617683</v>
      </c>
      <c r="G26" s="18" t="n">
        <v>2.77771254</v>
      </c>
      <c r="H26" s="20" t="n">
        <v>0.99746284</v>
      </c>
      <c r="I26" s="18" t="s">
        <v>349</v>
      </c>
      <c r="J26" s="20" t="s">
        <v>349</v>
      </c>
      <c r="K26" s="18" t="n">
        <v>1.34895929</v>
      </c>
      <c r="L26" s="20" t="n">
        <v>0.69947163</v>
      </c>
      <c r="M26" s="18" t="n">
        <v>0</v>
      </c>
      <c r="N26" s="20" t="n">
        <v>0</v>
      </c>
      <c r="O26" s="18" t="n">
        <v>0</v>
      </c>
      <c r="P26" s="20" t="n">
        <v>0</v>
      </c>
      <c r="Q26" s="18" t="n">
        <v>18.61517979</v>
      </c>
      <c r="R26" s="20" t="n">
        <v>2.09821927</v>
      </c>
    </row>
    <row r="27" spans="1:18">
      <c r="A27" s="15" t="s">
        <v>369</v>
      </c>
      <c r="B27" s="17" t="n">
        <v>2616</v>
      </c>
      <c r="C27" s="18">
        <f>(2294.0/B27*100)</f>
        <v/>
      </c>
      <c r="D27" s="19" t="n">
        <v>322</v>
      </c>
      <c r="E27" s="18" t="n">
        <v>74.41547703000001</v>
      </c>
      <c r="F27" s="20" t="n">
        <v>2.19742773</v>
      </c>
      <c r="G27" s="18" t="n">
        <v>4.340041</v>
      </c>
      <c r="H27" s="20" t="n">
        <v>1.12098803</v>
      </c>
      <c r="I27" s="18" t="s">
        <v>349</v>
      </c>
      <c r="J27" s="20" t="s">
        <v>349</v>
      </c>
      <c r="K27" s="18" t="n">
        <v>3.12052589</v>
      </c>
      <c r="L27" s="20" t="n">
        <v>1.06436214</v>
      </c>
      <c r="M27" s="18" t="n">
        <v>0</v>
      </c>
      <c r="N27" s="20" t="n">
        <v>0</v>
      </c>
      <c r="O27" s="18" t="n">
        <v>0</v>
      </c>
      <c r="P27" s="20" t="n">
        <v>0</v>
      </c>
      <c r="Q27" s="18" t="n">
        <v>18.12395609</v>
      </c>
      <c r="R27" s="20" t="n">
        <v>1.95981414</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88.63964738</v>
      </c>
      <c r="F29" s="20" t="n">
        <v>1.45255644</v>
      </c>
      <c r="G29" s="18" t="n">
        <v>1.93158039</v>
      </c>
      <c r="H29" s="20" t="n">
        <v>0.6230956600000001</v>
      </c>
      <c r="I29" s="18" t="s">
        <v>349</v>
      </c>
      <c r="J29" s="20" t="s">
        <v>349</v>
      </c>
      <c r="K29" s="18" t="n">
        <v>1.17380533</v>
      </c>
      <c r="L29" s="20" t="n">
        <v>0.59859501</v>
      </c>
      <c r="M29" s="18" t="n">
        <v>0</v>
      </c>
      <c r="N29" s="20" t="n">
        <v>0</v>
      </c>
      <c r="O29" s="18" t="n">
        <v>0</v>
      </c>
      <c r="P29" s="20" t="n">
        <v>0</v>
      </c>
      <c r="Q29" s="18" t="n">
        <v>8.25496689</v>
      </c>
      <c r="R29" s="20" t="n">
        <v>1.45422192</v>
      </c>
    </row>
    <row r="30" spans="1:18">
      <c r="A30" s="15" t="s">
        <v>372</v>
      </c>
      <c r="B30" s="17" t="n">
        <v>2263</v>
      </c>
      <c r="C30" s="18">
        <f>(2012.0/B30*100)</f>
        <v/>
      </c>
      <c r="D30" s="19" t="n">
        <v>251</v>
      </c>
      <c r="E30" s="18" t="n">
        <v>79.0757778</v>
      </c>
      <c r="F30" s="20" t="n">
        <v>2.44669407</v>
      </c>
      <c r="G30" s="18" t="n">
        <v>5.02762483</v>
      </c>
      <c r="H30" s="20" t="n">
        <v>1.27324199</v>
      </c>
      <c r="I30" s="18" t="s">
        <v>349</v>
      </c>
      <c r="J30" s="20" t="s">
        <v>349</v>
      </c>
      <c r="K30" s="18" t="n">
        <v>3.8982057</v>
      </c>
      <c r="L30" s="20" t="n">
        <v>1.48978052</v>
      </c>
      <c r="M30" s="18" t="n">
        <v>0</v>
      </c>
      <c r="N30" s="20" t="n">
        <v>0</v>
      </c>
      <c r="O30" s="18" t="n">
        <v>0</v>
      </c>
      <c r="P30" s="20" t="n">
        <v>0</v>
      </c>
      <c r="Q30" s="18" t="n">
        <v>11.99839167</v>
      </c>
      <c r="R30" s="20" t="n">
        <v>1.90316661</v>
      </c>
    </row>
    <row r="31" spans="1:18">
      <c r="A31" s="15" t="s">
        <v>373</v>
      </c>
      <c r="B31" s="17" t="n">
        <v>2750</v>
      </c>
      <c r="C31" s="18">
        <f>(2399.0/B31*100)</f>
        <v/>
      </c>
      <c r="D31" s="19" t="n">
        <v>351</v>
      </c>
      <c r="E31" s="18" t="n">
        <v>75.68189877</v>
      </c>
      <c r="F31" s="20" t="n">
        <v>2.33144257</v>
      </c>
      <c r="G31" s="18" t="n">
        <v>2.62214661</v>
      </c>
      <c r="H31" s="20" t="n">
        <v>0.77215225</v>
      </c>
      <c r="I31" s="18" t="s">
        <v>349</v>
      </c>
      <c r="J31" s="20" t="s">
        <v>349</v>
      </c>
      <c r="K31" s="18" t="n">
        <v>5.04036061</v>
      </c>
      <c r="L31" s="20" t="n">
        <v>1.13129277</v>
      </c>
      <c r="M31" s="18" t="n">
        <v>0</v>
      </c>
      <c r="N31" s="20" t="n">
        <v>0</v>
      </c>
      <c r="O31" s="18" t="n">
        <v>0</v>
      </c>
      <c r="P31" s="20" t="n">
        <v>0</v>
      </c>
      <c r="Q31" s="18" t="n">
        <v>16.65559401</v>
      </c>
      <c r="R31" s="20" t="n">
        <v>1.86392367</v>
      </c>
    </row>
    <row r="32" spans="1:18">
      <c r="A32" s="15" t="s">
        <v>374</v>
      </c>
      <c r="B32" s="17" t="n">
        <v>2269</v>
      </c>
      <c r="C32" s="18">
        <f>(1895.0/B32*100)</f>
        <v/>
      </c>
      <c r="D32" s="19" t="n">
        <v>374</v>
      </c>
      <c r="E32" s="18" t="n">
        <v>69.87908677</v>
      </c>
      <c r="F32" s="20" t="n">
        <v>2.3592207</v>
      </c>
      <c r="G32" s="18" t="n">
        <v>6.34682691</v>
      </c>
      <c r="H32" s="20" t="n">
        <v>1.27629181</v>
      </c>
      <c r="I32" s="18" t="s">
        <v>349</v>
      </c>
      <c r="J32" s="20" t="s">
        <v>349</v>
      </c>
      <c r="K32" s="18" t="n">
        <v>1.52367409</v>
      </c>
      <c r="L32" s="20" t="n">
        <v>0.60119966</v>
      </c>
      <c r="M32" s="18" t="n">
        <v>0</v>
      </c>
      <c r="N32" s="20" t="n">
        <v>0</v>
      </c>
      <c r="O32" s="18" t="n">
        <v>0</v>
      </c>
      <c r="P32" s="20" t="n">
        <v>0</v>
      </c>
      <c r="Q32" s="18" t="n">
        <v>22.25041224</v>
      </c>
      <c r="R32" s="20" t="n">
        <v>2.27188541</v>
      </c>
    </row>
    <row r="33" spans="1:18">
      <c r="A33" s="15" t="s">
        <v>375</v>
      </c>
      <c r="B33" s="17" t="n">
        <v>3674</v>
      </c>
      <c r="C33" s="18">
        <f>(3243.0/B33*100)</f>
        <v/>
      </c>
      <c r="D33" s="19" t="n">
        <v>431</v>
      </c>
      <c r="E33" s="18" t="n">
        <v>62.28778286</v>
      </c>
      <c r="F33" s="20" t="n">
        <v>3.21477848</v>
      </c>
      <c r="G33" s="18" t="n">
        <v>9.74453316</v>
      </c>
      <c r="H33" s="20" t="n">
        <v>2.07806022</v>
      </c>
      <c r="I33" s="18" t="s">
        <v>349</v>
      </c>
      <c r="J33" s="20" t="s">
        <v>349</v>
      </c>
      <c r="K33" s="18" t="n">
        <v>3.77751687</v>
      </c>
      <c r="L33" s="20" t="n">
        <v>1.0983922</v>
      </c>
      <c r="M33" s="18" t="n">
        <v>0</v>
      </c>
      <c r="N33" s="20" t="n">
        <v>0</v>
      </c>
      <c r="O33" s="18" t="n">
        <v>0</v>
      </c>
      <c r="P33" s="20" t="n">
        <v>0</v>
      </c>
      <c r="Q33" s="18" t="n">
        <v>24.19016711</v>
      </c>
      <c r="R33" s="20" t="n">
        <v>2.72216773</v>
      </c>
    </row>
    <row r="34" spans="1:18">
      <c r="A34" s="15" t="s">
        <v>376</v>
      </c>
      <c r="B34" s="17" t="n">
        <v>3315</v>
      </c>
      <c r="C34" s="18">
        <f>(2942.0/B34*100)</f>
        <v/>
      </c>
      <c r="D34" s="19" t="n">
        <v>373</v>
      </c>
      <c r="E34" s="18" t="n">
        <v>82.03131129</v>
      </c>
      <c r="F34" s="20" t="n">
        <v>2.18593672</v>
      </c>
      <c r="G34" s="18" t="n">
        <v>4.1527856</v>
      </c>
      <c r="H34" s="20" t="n">
        <v>1.34408428</v>
      </c>
      <c r="I34" s="18" t="s">
        <v>349</v>
      </c>
      <c r="J34" s="20" t="s">
        <v>349</v>
      </c>
      <c r="K34" s="18" t="n">
        <v>1.77163338</v>
      </c>
      <c r="L34" s="20" t="n">
        <v>0.64105879</v>
      </c>
      <c r="M34" s="18" t="n">
        <v>0</v>
      </c>
      <c r="N34" s="20" t="n">
        <v>0</v>
      </c>
      <c r="O34" s="18" t="n">
        <v>0</v>
      </c>
      <c r="P34" s="20" t="n">
        <v>0</v>
      </c>
      <c r="Q34" s="18" t="n">
        <v>12.04426973</v>
      </c>
      <c r="R34" s="20" t="n">
        <v>1.74377965</v>
      </c>
    </row>
    <row r="35" spans="1:18">
      <c r="A35" s="15" t="s">
        <v>377</v>
      </c>
      <c r="B35" s="17" t="n">
        <v>3505</v>
      </c>
      <c r="C35" s="18">
        <f>(3076.0/B35*100)</f>
        <v/>
      </c>
      <c r="D35" s="19" t="n">
        <v>429</v>
      </c>
      <c r="E35" s="18" t="n">
        <v>76.66693343999999</v>
      </c>
      <c r="F35" s="20" t="n">
        <v>2.6624207</v>
      </c>
      <c r="G35" s="18" t="n">
        <v>3.17351613</v>
      </c>
      <c r="H35" s="20" t="n">
        <v>0.90166212</v>
      </c>
      <c r="I35" s="18" t="s">
        <v>349</v>
      </c>
      <c r="J35" s="20" t="s">
        <v>349</v>
      </c>
      <c r="K35" s="18" t="n">
        <v>2.44686552</v>
      </c>
      <c r="L35" s="20" t="n">
        <v>0.64699968</v>
      </c>
      <c r="M35" s="18" t="n">
        <v>0</v>
      </c>
      <c r="N35" s="20" t="n">
        <v>0</v>
      </c>
      <c r="O35" s="18" t="n">
        <v>0</v>
      </c>
      <c r="P35" s="20" t="n">
        <v>0</v>
      </c>
      <c r="Q35" s="18" t="n">
        <v>17.71268491</v>
      </c>
      <c r="R35" s="20" t="n">
        <v>2.52800204</v>
      </c>
    </row>
    <row r="36" spans="1:18">
      <c r="A36" s="15" t="s">
        <v>378</v>
      </c>
      <c r="B36" s="17" t="n">
        <v>3332</v>
      </c>
      <c r="C36" s="18">
        <f>(2929.0/B36*100)</f>
        <v/>
      </c>
      <c r="D36" s="19" t="n">
        <v>403</v>
      </c>
      <c r="E36" s="18" t="n">
        <v>69.37194104</v>
      </c>
      <c r="F36" s="20" t="n">
        <v>2.06113192</v>
      </c>
      <c r="G36" s="18" t="n">
        <v>5.29589587</v>
      </c>
      <c r="H36" s="20" t="n">
        <v>1.14550136</v>
      </c>
      <c r="I36" s="18" t="s">
        <v>349</v>
      </c>
      <c r="J36" s="20" t="s">
        <v>349</v>
      </c>
      <c r="K36" s="18" t="n">
        <v>2.82450933</v>
      </c>
      <c r="L36" s="20" t="n">
        <v>0.79053041</v>
      </c>
      <c r="M36" s="18" t="n">
        <v>0</v>
      </c>
      <c r="N36" s="20" t="n">
        <v>0</v>
      </c>
      <c r="O36" s="18" t="n">
        <v>0</v>
      </c>
      <c r="P36" s="20" t="n">
        <v>0</v>
      </c>
      <c r="Q36" s="18" t="n">
        <v>22.50765377</v>
      </c>
      <c r="R36" s="20" t="n">
        <v>2.05858317</v>
      </c>
    </row>
    <row r="37" spans="1:18">
      <c r="A37" s="15" t="s">
        <v>379</v>
      </c>
      <c r="B37" s="17" t="n">
        <v>2727</v>
      </c>
      <c r="C37" s="18">
        <f>(2407.0/B37*100)</f>
        <v/>
      </c>
      <c r="D37" s="19" t="n">
        <v>320</v>
      </c>
      <c r="E37" s="18" t="n">
        <v>63.94363895</v>
      </c>
      <c r="F37" s="20" t="n">
        <v>3.06423497</v>
      </c>
      <c r="G37" s="18" t="n">
        <v>0.55900623</v>
      </c>
      <c r="H37" s="20" t="n">
        <v>0.38653986</v>
      </c>
      <c r="I37" s="18" t="s">
        <v>349</v>
      </c>
      <c r="J37" s="20" t="s">
        <v>349</v>
      </c>
      <c r="K37" s="18" t="n">
        <v>10.45220403</v>
      </c>
      <c r="L37" s="20" t="n">
        <v>1.98061025</v>
      </c>
      <c r="M37" s="18" t="n">
        <v>0</v>
      </c>
      <c r="N37" s="20" t="n">
        <v>0</v>
      </c>
      <c r="O37" s="18" t="n">
        <v>0</v>
      </c>
      <c r="P37" s="20" t="n">
        <v>0</v>
      </c>
      <c r="Q37" s="18" t="n">
        <v>25.0451508</v>
      </c>
      <c r="R37" s="20" t="n">
        <v>2.73539942</v>
      </c>
    </row>
    <row r="38" spans="1:18">
      <c r="A38" s="15" t="s">
        <v>380</v>
      </c>
      <c r="B38" s="17" t="n">
        <v>3053</v>
      </c>
      <c r="C38" s="18">
        <f>(2552.0/B38*100)</f>
        <v/>
      </c>
      <c r="D38" s="19" t="n">
        <v>501</v>
      </c>
      <c r="E38" s="18" t="n">
        <v>67.87226065</v>
      </c>
      <c r="F38" s="20" t="n">
        <v>2.42533033</v>
      </c>
      <c r="G38" s="18" t="n">
        <v>10.94179566</v>
      </c>
      <c r="H38" s="20" t="n">
        <v>1.34987042</v>
      </c>
      <c r="I38" s="18" t="s">
        <v>349</v>
      </c>
      <c r="J38" s="20" t="s">
        <v>349</v>
      </c>
      <c r="K38" s="18" t="n">
        <v>3.80993794</v>
      </c>
      <c r="L38" s="20" t="n">
        <v>0.95533888</v>
      </c>
      <c r="M38" s="18" t="n">
        <v>0</v>
      </c>
      <c r="N38" s="20" t="n">
        <v>0</v>
      </c>
      <c r="O38" s="18" t="n">
        <v>0</v>
      </c>
      <c r="P38" s="20" t="n">
        <v>0</v>
      </c>
      <c r="Q38" s="18" t="n">
        <v>17.37600575</v>
      </c>
      <c r="R38" s="20" t="n">
        <v>2.17284074</v>
      </c>
    </row>
    <row r="39" spans="1:18">
      <c r="A39" s="15" t="s">
        <v>381</v>
      </c>
      <c r="B39" s="17" t="n">
        <v>2957</v>
      </c>
      <c r="C39" s="18">
        <f>(2582.0/B39*100)</f>
        <v/>
      </c>
      <c r="D39" s="19" t="n">
        <v>375</v>
      </c>
      <c r="E39" s="18" t="n">
        <v>90.48423882</v>
      </c>
      <c r="F39" s="20" t="n">
        <v>1.72869492</v>
      </c>
      <c r="G39" s="18" t="n">
        <v>0.20930277</v>
      </c>
      <c r="H39" s="20" t="n">
        <v>0.21161161</v>
      </c>
      <c r="I39" s="18" t="s">
        <v>349</v>
      </c>
      <c r="J39" s="20" t="s">
        <v>349</v>
      </c>
      <c r="K39" s="18" t="n">
        <v>1.92046211</v>
      </c>
      <c r="L39" s="20" t="n">
        <v>0.73877483</v>
      </c>
      <c r="M39" s="18" t="n">
        <v>0</v>
      </c>
      <c r="N39" s="20" t="n">
        <v>0</v>
      </c>
      <c r="O39" s="18" t="n">
        <v>0</v>
      </c>
      <c r="P39" s="20" t="n">
        <v>0</v>
      </c>
      <c r="Q39" s="18" t="n">
        <v>7.3859963</v>
      </c>
      <c r="R39" s="20" t="n">
        <v>1.65676656</v>
      </c>
    </row>
    <row r="40" spans="1:18">
      <c r="A40" s="15" t="s">
        <v>382</v>
      </c>
      <c r="B40" s="17" t="n">
        <v>7235</v>
      </c>
      <c r="C40" s="18">
        <f>(6369.0/B40*100)</f>
        <v/>
      </c>
      <c r="D40" s="19" t="n">
        <v>866</v>
      </c>
      <c r="E40" s="18" t="n">
        <v>77.3768879</v>
      </c>
      <c r="F40" s="20" t="n">
        <v>2.39040337</v>
      </c>
      <c r="G40" s="18" t="n">
        <v>2.13361636</v>
      </c>
      <c r="H40" s="20" t="n">
        <v>0.67533385</v>
      </c>
      <c r="I40" s="18" t="s">
        <v>349</v>
      </c>
      <c r="J40" s="20" t="s">
        <v>349</v>
      </c>
      <c r="K40" s="18" t="n">
        <v>3.36314171</v>
      </c>
      <c r="L40" s="20" t="n">
        <v>0.92814084</v>
      </c>
      <c r="M40" s="18" t="n">
        <v>0</v>
      </c>
      <c r="N40" s="20" t="n">
        <v>0</v>
      </c>
      <c r="O40" s="18" t="n">
        <v>0</v>
      </c>
      <c r="P40" s="20" t="n">
        <v>0</v>
      </c>
      <c r="Q40" s="18" t="n">
        <v>17.12635403</v>
      </c>
      <c r="R40" s="20" t="n">
        <v>2.02808143</v>
      </c>
    </row>
    <row r="41" spans="1:18">
      <c r="A41" s="15" t="s">
        <v>383</v>
      </c>
      <c r="B41" s="17" t="n">
        <v>2858</v>
      </c>
      <c r="C41" s="18">
        <f>(2537.0/B41*100)</f>
        <v/>
      </c>
      <c r="D41" s="19" t="n">
        <v>321</v>
      </c>
      <c r="E41" s="18" t="n">
        <v>94.56253999</v>
      </c>
      <c r="F41" s="20" t="n">
        <v>1.11333234</v>
      </c>
      <c r="G41" s="18" t="n">
        <v>1.61882724</v>
      </c>
      <c r="H41" s="20" t="n">
        <v>0.69592228</v>
      </c>
      <c r="I41" s="18" t="s">
        <v>349</v>
      </c>
      <c r="J41" s="20" t="s">
        <v>349</v>
      </c>
      <c r="K41" s="18" t="n">
        <v>0</v>
      </c>
      <c r="L41" s="20" t="n">
        <v>0</v>
      </c>
      <c r="M41" s="18" t="n">
        <v>0</v>
      </c>
      <c r="N41" s="20" t="n">
        <v>0</v>
      </c>
      <c r="O41" s="18" t="n">
        <v>0</v>
      </c>
      <c r="P41" s="20" t="n">
        <v>0</v>
      </c>
      <c r="Q41" s="18" t="n">
        <v>3.81863278</v>
      </c>
      <c r="R41" s="20" t="n">
        <v>0.90401203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(4509.0/B48*100)</f>
        <v/>
      </c>
      <c r="D48" s="19" t="n">
        <v>650</v>
      </c>
      <c r="E48" s="18" t="n">
        <v>61.37105157</v>
      </c>
      <c r="F48" s="20" t="n">
        <v>2.8103844</v>
      </c>
      <c r="G48" s="18" t="n">
        <v>30.11420963</v>
      </c>
      <c r="H48" s="20" t="n">
        <v>3.35499003</v>
      </c>
      <c r="I48" s="18" t="s">
        <v>349</v>
      </c>
      <c r="J48" s="20" t="s">
        <v>349</v>
      </c>
      <c r="K48" s="18" t="n">
        <v>0.91986327</v>
      </c>
      <c r="L48" s="20" t="n">
        <v>0.69235496</v>
      </c>
      <c r="M48" s="18" t="n">
        <v>0</v>
      </c>
      <c r="N48" s="20" t="n">
        <v>0</v>
      </c>
      <c r="O48" s="18" t="n">
        <v>0</v>
      </c>
      <c r="P48" s="20" t="n">
        <v>0</v>
      </c>
      <c r="Q48" s="18" t="n">
        <v>7.59487552</v>
      </c>
      <c r="R48" s="20" t="n">
        <v>1.69790907</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(2468.0/B52*100)</f>
        <v/>
      </c>
      <c r="D52" s="19" t="n">
        <v>328</v>
      </c>
      <c r="E52" s="18" t="n">
        <v>71.75288811999999</v>
      </c>
      <c r="F52" s="20" t="n">
        <v>2.53643777</v>
      </c>
      <c r="G52" s="18" t="n">
        <v>3.46466588</v>
      </c>
      <c r="H52" s="20" t="n">
        <v>0.94825273</v>
      </c>
      <c r="I52" s="18" t="s">
        <v>349</v>
      </c>
      <c r="J52" s="20" t="s">
        <v>349</v>
      </c>
      <c r="K52" s="18" t="n">
        <v>4.7119626</v>
      </c>
      <c r="L52" s="20" t="n">
        <v>1.23742372</v>
      </c>
      <c r="M52" s="18" t="n">
        <v>0</v>
      </c>
      <c r="N52" s="20" t="n">
        <v>0</v>
      </c>
      <c r="O52" s="18" t="n">
        <v>0</v>
      </c>
      <c r="P52" s="20" t="n">
        <v>0</v>
      </c>
      <c r="Q52" s="18" t="n">
        <v>20.07048341</v>
      </c>
      <c r="R52" s="20" t="n">
        <v>2.68057621</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(2345.0/B56*100)</f>
        <v/>
      </c>
      <c r="D56" s="19" t="n">
        <v>339</v>
      </c>
      <c r="E56" s="18" t="n">
        <v>71.7354352</v>
      </c>
      <c r="F56" s="20" t="n">
        <v>2.54096543</v>
      </c>
      <c r="G56" s="18" t="n">
        <v>9.6085739</v>
      </c>
      <c r="H56" s="20" t="n">
        <v>1.67632469</v>
      </c>
      <c r="I56" s="18" t="s">
        <v>349</v>
      </c>
      <c r="J56" s="20" t="s">
        <v>349</v>
      </c>
      <c r="K56" s="18" t="n">
        <v>1.06864234</v>
      </c>
      <c r="L56" s="20" t="n">
        <v>0.68604879</v>
      </c>
      <c r="M56" s="18" t="n">
        <v>0</v>
      </c>
      <c r="N56" s="20" t="n">
        <v>0</v>
      </c>
      <c r="O56" s="18" t="n">
        <v>0</v>
      </c>
      <c r="P56" s="20" t="n">
        <v>0</v>
      </c>
      <c r="Q56" s="18" t="n">
        <v>17.58734857</v>
      </c>
      <c r="R56" s="20" t="n">
        <v>2.11044202</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(2889.0/B61*100)</f>
        <v/>
      </c>
      <c r="D61" s="19" t="n">
        <v>435</v>
      </c>
      <c r="E61" s="18" t="n">
        <v>79.2999236</v>
      </c>
      <c r="F61" s="20" t="n">
        <v>2.21511573</v>
      </c>
      <c r="G61" s="18" t="n">
        <v>0.90358514</v>
      </c>
      <c r="H61" s="20" t="n">
        <v>0.47550432</v>
      </c>
      <c r="I61" s="18" t="s">
        <v>349</v>
      </c>
      <c r="J61" s="20" t="s">
        <v>349</v>
      </c>
      <c r="K61" s="18" t="n">
        <v>2.40619183</v>
      </c>
      <c r="L61" s="20" t="n">
        <v>0.83364096</v>
      </c>
      <c r="M61" s="18" t="n">
        <v>0</v>
      </c>
      <c r="N61" s="20" t="n">
        <v>0</v>
      </c>
      <c r="O61" s="18" t="n">
        <v>0</v>
      </c>
      <c r="P61" s="20" t="n">
        <v>0</v>
      </c>
      <c r="Q61" s="18" t="n">
        <v>17.39029943</v>
      </c>
      <c r="R61" s="20" t="n">
        <v>1.9726692</v>
      </c>
    </row>
    <row r="62" spans="1:18">
      <c r="A62" s="15" t="s">
        <v>404</v>
      </c>
      <c r="B62" s="17" t="n">
        <v>2246</v>
      </c>
      <c r="C62" s="18">
        <f>(1969.0/B62*100)</f>
        <v/>
      </c>
      <c r="D62" s="19" t="n">
        <v>277</v>
      </c>
      <c r="E62" s="18" t="n">
        <v>73.95851171</v>
      </c>
      <c r="F62" s="20" t="n">
        <v>2.53866891</v>
      </c>
      <c r="G62" s="18" t="n">
        <v>15.50407041</v>
      </c>
      <c r="H62" s="20" t="n">
        <v>2.12817976</v>
      </c>
      <c r="I62" s="18" t="s">
        <v>349</v>
      </c>
      <c r="J62" s="20" t="s">
        <v>349</v>
      </c>
      <c r="K62" s="18" t="n">
        <v>0</v>
      </c>
      <c r="L62" s="20" t="n">
        <v>0</v>
      </c>
      <c r="M62" s="18" t="n">
        <v>0</v>
      </c>
      <c r="N62" s="20" t="n">
        <v>0</v>
      </c>
      <c r="O62" s="18" t="n">
        <v>0</v>
      </c>
      <c r="P62" s="20" t="n">
        <v>0</v>
      </c>
      <c r="Q62" s="18" t="n">
        <v>10.53741788</v>
      </c>
      <c r="R62" s="20" t="n">
        <v>1.72515436</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(2529.0/B66*100)</f>
        <v/>
      </c>
      <c r="D66" s="19" t="n">
        <v>365</v>
      </c>
      <c r="E66" s="18" t="n">
        <v>70.85492418</v>
      </c>
      <c r="F66" s="20" t="n">
        <v>2.1927888</v>
      </c>
      <c r="G66" s="18" t="n">
        <v>2.40244052</v>
      </c>
      <c r="H66" s="20" t="n">
        <v>0.78032649</v>
      </c>
      <c r="I66" s="18" t="s">
        <v>349</v>
      </c>
      <c r="J66" s="20" t="s">
        <v>349</v>
      </c>
      <c r="K66" s="18" t="n">
        <v>8.45394952</v>
      </c>
      <c r="L66" s="20" t="n">
        <v>1.35483997</v>
      </c>
      <c r="M66" s="18" t="n">
        <v>0</v>
      </c>
      <c r="N66" s="20" t="n">
        <v>0</v>
      </c>
      <c r="O66" s="18" t="n">
        <v>0</v>
      </c>
      <c r="P66" s="20" t="n">
        <v>0</v>
      </c>
      <c r="Q66" s="18" t="n">
        <v>18.28868579</v>
      </c>
      <c r="R66" s="20" t="n">
        <v>1.81960132</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(5027.0/B68*100)</f>
        <v/>
      </c>
      <c r="D68" s="19" t="n">
        <v>1022</v>
      </c>
      <c r="E68" s="18" t="n">
        <v>81.83671009</v>
      </c>
      <c r="F68" s="20" t="n">
        <v>1.24532943</v>
      </c>
      <c r="G68" s="18" t="n">
        <v>1.53746374</v>
      </c>
      <c r="H68" s="20" t="n">
        <v>0.33765408</v>
      </c>
      <c r="I68" s="18" t="s">
        <v>349</v>
      </c>
      <c r="J68" s="20" t="s">
        <v>349</v>
      </c>
      <c r="K68" s="18" t="n">
        <v>7.46112402</v>
      </c>
      <c r="L68" s="20" t="n">
        <v>0.78643507</v>
      </c>
      <c r="M68" s="18" t="n">
        <v>0</v>
      </c>
      <c r="N68" s="20" t="n">
        <v>0</v>
      </c>
      <c r="O68" s="18" t="n">
        <v>0</v>
      </c>
      <c r="P68" s="20" t="n">
        <v>0</v>
      </c>
      <c r="Q68" s="18" t="n">
        <v>9.164702139999999</v>
      </c>
      <c r="R68" s="20" t="n">
        <v>0.99400675</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(2571.0/B70*100)</f>
        <v/>
      </c>
      <c r="D70" s="19" t="n">
        <v>358</v>
      </c>
      <c r="E70" s="18" t="n">
        <v>72.80721559</v>
      </c>
      <c r="F70" s="20" t="n">
        <v>2.75234072</v>
      </c>
      <c r="G70" s="18" t="n">
        <v>9.09416609</v>
      </c>
      <c r="H70" s="20" t="n">
        <v>1.82480801</v>
      </c>
      <c r="I70" s="18" t="s">
        <v>349</v>
      </c>
      <c r="J70" s="20" t="s">
        <v>349</v>
      </c>
      <c r="K70" s="18" t="n">
        <v>4.1809525</v>
      </c>
      <c r="L70" s="20" t="n">
        <v>1.54955373</v>
      </c>
      <c r="M70" s="18" t="n">
        <v>0</v>
      </c>
      <c r="N70" s="20" t="n">
        <v>0</v>
      </c>
      <c r="O70" s="18" t="n">
        <v>0</v>
      </c>
      <c r="P70" s="20" t="n">
        <v>0</v>
      </c>
      <c r="Q70" s="18" t="n">
        <v>13.91766582</v>
      </c>
      <c r="R70" s="20" t="n">
        <v>1.93228273</v>
      </c>
    </row>
    <row r="71" spans="1:18">
      <c r="A71" s="15" t="s">
        <v>413</v>
      </c>
      <c r="B71" s="17" t="n">
        <v>3142</v>
      </c>
      <c r="C71" s="18">
        <f>(2753.0/B71*100)</f>
        <v/>
      </c>
      <c r="D71" s="19" t="n">
        <v>389</v>
      </c>
      <c r="E71" s="18" t="n">
        <v>77.58874234</v>
      </c>
      <c r="F71" s="20" t="n">
        <v>1.87365359</v>
      </c>
      <c r="G71" s="18" t="n">
        <v>12.88104405</v>
      </c>
      <c r="H71" s="20" t="n">
        <v>1.75697893</v>
      </c>
      <c r="I71" s="18" t="s">
        <v>349</v>
      </c>
      <c r="J71" s="20" t="s">
        <v>349</v>
      </c>
      <c r="K71" s="18" t="n">
        <v>1.6737864</v>
      </c>
      <c r="L71" s="20" t="n">
        <v>0.61040908</v>
      </c>
      <c r="M71" s="18" t="n">
        <v>0</v>
      </c>
      <c r="N71" s="20" t="n">
        <v>0</v>
      </c>
      <c r="O71" s="18" t="n">
        <v>0</v>
      </c>
      <c r="P71" s="20" t="n">
        <v>0</v>
      </c>
      <c r="Q71" s="18" t="n">
        <v>7.85642722</v>
      </c>
      <c r="R71" s="20" t="n">
        <v>1.20471479</v>
      </c>
    </row>
    <row r="72" spans="1:18">
      <c r="A72" s="15" t="s">
        <v>414</v>
      </c>
      <c r="B72" s="17" t="n">
        <v>3889</v>
      </c>
      <c r="C72" s="18">
        <f>(3416.0/B72*100)</f>
        <v/>
      </c>
      <c r="D72" s="19" t="n">
        <v>473</v>
      </c>
      <c r="E72" s="18" t="n">
        <v>58.49246481</v>
      </c>
      <c r="F72" s="20" t="n">
        <v>2.46602652</v>
      </c>
      <c r="G72" s="18" t="n">
        <v>26.21577912</v>
      </c>
      <c r="H72" s="20" t="n">
        <v>2.56769972</v>
      </c>
      <c r="I72" s="18" t="s">
        <v>349</v>
      </c>
      <c r="J72" s="20" t="s">
        <v>349</v>
      </c>
      <c r="K72" s="18" t="n">
        <v>1.68096404</v>
      </c>
      <c r="L72" s="20" t="n">
        <v>0.5477695299999999</v>
      </c>
      <c r="M72" s="18" t="n">
        <v>0</v>
      </c>
      <c r="N72" s="20" t="n">
        <v>0</v>
      </c>
      <c r="O72" s="18" t="n">
        <v>0</v>
      </c>
      <c r="P72" s="20" t="n">
        <v>0</v>
      </c>
      <c r="Q72" s="18" t="n">
        <v>13.61079203</v>
      </c>
      <c r="R72" s="20" t="n">
        <v>1.76266646</v>
      </c>
    </row>
    <row r="73" spans="1:18">
      <c r="A73" s="15" t="s">
        <v>415</v>
      </c>
      <c r="B73" s="17" t="n">
        <v>3597</v>
      </c>
      <c r="C73" s="18">
        <f>(3137.0/B73*100)</f>
        <v/>
      </c>
      <c r="D73" s="19" t="n">
        <v>460</v>
      </c>
      <c r="E73" s="18" t="n">
        <v>95.65923821</v>
      </c>
      <c r="F73" s="20" t="n">
        <v>1.36253829</v>
      </c>
      <c r="G73" s="18" t="n">
        <v>2.05292864</v>
      </c>
      <c r="H73" s="20" t="n">
        <v>0.87201916</v>
      </c>
      <c r="I73" s="18" t="s">
        <v>349</v>
      </c>
      <c r="J73" s="20" t="s">
        <v>349</v>
      </c>
      <c r="K73" s="18" t="n">
        <v>0.90556105</v>
      </c>
      <c r="L73" s="20" t="n">
        <v>0.88949435</v>
      </c>
      <c r="M73" s="18" t="n">
        <v>0</v>
      </c>
      <c r="N73" s="20" t="n">
        <v>0</v>
      </c>
      <c r="O73" s="18" t="n">
        <v>0</v>
      </c>
      <c r="P73" s="20" t="n">
        <v>0</v>
      </c>
      <c r="Q73" s="18" t="n">
        <v>1.3822721</v>
      </c>
      <c r="R73" s="20" t="n">
        <v>0.60634581</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(3648.0/B81*100)</f>
        <v/>
      </c>
      <c r="D81" s="19" t="n">
        <v>515</v>
      </c>
      <c r="E81" s="18" t="n">
        <v>93.17962081</v>
      </c>
      <c r="F81" s="20" t="n">
        <v>1.4676738</v>
      </c>
      <c r="G81" s="18" t="n">
        <v>1.92394077</v>
      </c>
      <c r="H81" s="20" t="n">
        <v>0.6975568</v>
      </c>
      <c r="I81" s="18" t="s">
        <v>349</v>
      </c>
      <c r="J81" s="20" t="s">
        <v>349</v>
      </c>
      <c r="K81" s="18" t="n">
        <v>0.9676169100000001</v>
      </c>
      <c r="L81" s="20" t="n">
        <v>0.84286282</v>
      </c>
      <c r="M81" s="18" t="n">
        <v>0</v>
      </c>
      <c r="N81" s="20" t="n">
        <v>0</v>
      </c>
      <c r="O81" s="18" t="n">
        <v>0</v>
      </c>
      <c r="P81" s="20" t="n">
        <v>0</v>
      </c>
      <c r="Q81" s="18" t="n">
        <v>3.92882151</v>
      </c>
      <c r="R81" s="20" t="n">
        <v>1.08578098</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(6505.0/B7*100)</f>
        <v/>
      </c>
      <c r="D7" s="19" t="n">
        <v>862</v>
      </c>
      <c r="E7" s="18" t="n">
        <v>46.81367669</v>
      </c>
      <c r="F7" s="20" t="n">
        <v>2.16515324</v>
      </c>
      <c r="G7" s="18" t="n">
        <v>40.60373454</v>
      </c>
      <c r="H7" s="20" t="n">
        <v>1.8972875</v>
      </c>
      <c r="I7" s="18" t="s">
        <v>349</v>
      </c>
      <c r="J7" s="20" t="s">
        <v>349</v>
      </c>
      <c r="K7" s="18" t="n">
        <v>4.18437267</v>
      </c>
      <c r="L7" s="20" t="n">
        <v>0.91379424</v>
      </c>
      <c r="M7" s="18" t="n">
        <v>0.04601004</v>
      </c>
      <c r="N7" s="20" t="n">
        <v>0.0259091</v>
      </c>
      <c r="O7" s="18" t="n">
        <v>0</v>
      </c>
      <c r="P7" s="20" t="n">
        <v>0</v>
      </c>
      <c r="Q7" s="18" t="n">
        <v>8.35220606</v>
      </c>
      <c r="R7" s="20" t="n">
        <v>1.17136247</v>
      </c>
    </row>
    <row r="8" spans="1:18">
      <c r="A8" s="15" t="s">
        <v>350</v>
      </c>
      <c r="B8" s="17" t="n">
        <v>3564</v>
      </c>
      <c r="C8" s="18">
        <f>(3162.0/B8*100)</f>
        <v/>
      </c>
      <c r="D8" s="19" t="n">
        <v>402</v>
      </c>
      <c r="E8" s="18" t="n">
        <v>49.08112155</v>
      </c>
      <c r="F8" s="20" t="n">
        <v>3.12255158</v>
      </c>
      <c r="G8" s="18" t="n">
        <v>32.58858532</v>
      </c>
      <c r="H8" s="20" t="n">
        <v>2.76646454</v>
      </c>
      <c r="I8" s="18" t="s">
        <v>349</v>
      </c>
      <c r="J8" s="20" t="s">
        <v>349</v>
      </c>
      <c r="K8" s="18" t="n">
        <v>6.67929025</v>
      </c>
      <c r="L8" s="20" t="n">
        <v>1.57754163</v>
      </c>
      <c r="M8" s="18" t="n">
        <v>0</v>
      </c>
      <c r="N8" s="20" t="n">
        <v>0</v>
      </c>
      <c r="O8" s="18" t="n">
        <v>0</v>
      </c>
      <c r="P8" s="20" t="n">
        <v>0</v>
      </c>
      <c r="Q8" s="18" t="n">
        <v>11.65100288</v>
      </c>
      <c r="R8" s="20" t="n">
        <v>1.82389703</v>
      </c>
    </row>
    <row r="9" spans="1:18">
      <c r="A9" s="15" t="s">
        <v>351</v>
      </c>
      <c r="B9" s="17" t="n">
        <v>4899</v>
      </c>
      <c r="C9" s="18">
        <f>(4334.0/B9*100)</f>
        <v/>
      </c>
      <c r="D9" s="19" t="n">
        <v>565</v>
      </c>
      <c r="E9" s="18" t="n">
        <v>44.84231908</v>
      </c>
      <c r="F9" s="20" t="n">
        <v>2.17151562</v>
      </c>
      <c r="G9" s="18" t="n">
        <v>41.3741927</v>
      </c>
      <c r="H9" s="20" t="n">
        <v>2.48660742</v>
      </c>
      <c r="I9" s="18" t="s">
        <v>349</v>
      </c>
      <c r="J9" s="20" t="s">
        <v>349</v>
      </c>
      <c r="K9" s="18" t="n">
        <v>4.88291676</v>
      </c>
      <c r="L9" s="20" t="n">
        <v>0.90071098</v>
      </c>
      <c r="M9" s="18" t="n">
        <v>0.52174692</v>
      </c>
      <c r="N9" s="20" t="n">
        <v>0.37087197</v>
      </c>
      <c r="O9" s="18" t="n">
        <v>0</v>
      </c>
      <c r="P9" s="20" t="n">
        <v>0</v>
      </c>
      <c r="Q9" s="18" t="n">
        <v>8.37882454</v>
      </c>
      <c r="R9" s="20" t="n">
        <v>1.43651002</v>
      </c>
    </row>
    <row r="10" spans="1:18">
      <c r="A10" s="15" t="s">
        <v>352</v>
      </c>
      <c r="B10" s="17" t="n">
        <v>10036</v>
      </c>
      <c r="C10" s="18">
        <f>(8824.0/B10*100)</f>
        <v/>
      </c>
      <c r="D10" s="19" t="n">
        <v>1212</v>
      </c>
      <c r="E10" s="18" t="n">
        <v>42.98606273</v>
      </c>
      <c r="F10" s="20" t="n">
        <v>2.02220411</v>
      </c>
      <c r="G10" s="18" t="n">
        <v>48.70034294</v>
      </c>
      <c r="H10" s="20" t="n">
        <v>2.06609862</v>
      </c>
      <c r="I10" s="18" t="s">
        <v>349</v>
      </c>
      <c r="J10" s="20" t="s">
        <v>349</v>
      </c>
      <c r="K10" s="18" t="n">
        <v>3.18367983</v>
      </c>
      <c r="L10" s="20" t="n">
        <v>0.71038302</v>
      </c>
      <c r="M10" s="18" t="n">
        <v>1.45837965</v>
      </c>
      <c r="N10" s="20" t="n">
        <v>0.36560696</v>
      </c>
      <c r="O10" s="18" t="n">
        <v>0</v>
      </c>
      <c r="P10" s="20" t="n">
        <v>0</v>
      </c>
      <c r="Q10" s="18" t="n">
        <v>3.67153485</v>
      </c>
      <c r="R10" s="20" t="n">
        <v>0.80567529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(3072.0/B12*100)</f>
        <v/>
      </c>
      <c r="D12" s="19" t="n">
        <v>400</v>
      </c>
      <c r="E12" s="18" t="n">
        <v>48.99439538</v>
      </c>
      <c r="F12" s="20" t="n">
        <v>3.08777945</v>
      </c>
      <c r="G12" s="18" t="n">
        <v>29.68688882</v>
      </c>
      <c r="H12" s="20" t="n">
        <v>2.6405145</v>
      </c>
      <c r="I12" s="18" t="s">
        <v>349</v>
      </c>
      <c r="J12" s="20" t="s">
        <v>349</v>
      </c>
      <c r="K12" s="18" t="n">
        <v>5.4088111</v>
      </c>
      <c r="L12" s="20" t="n">
        <v>1.15089834</v>
      </c>
      <c r="M12" s="18" t="n">
        <v>0.48980358</v>
      </c>
      <c r="N12" s="20" t="n">
        <v>0.47999937</v>
      </c>
      <c r="O12" s="18" t="n">
        <v>0</v>
      </c>
      <c r="P12" s="20" t="n">
        <v>0</v>
      </c>
      <c r="Q12" s="18" t="n">
        <v>15.42010111</v>
      </c>
      <c r="R12" s="20" t="n">
        <v>2.10637665</v>
      </c>
    </row>
    <row r="13" spans="1:18">
      <c r="A13" s="15" t="s">
        <v>355</v>
      </c>
      <c r="B13" s="17" t="n">
        <v>3559</v>
      </c>
      <c r="C13" s="18">
        <f>(3147.0/B13*100)</f>
        <v/>
      </c>
      <c r="D13" s="19" t="n">
        <v>412</v>
      </c>
      <c r="E13" s="18" t="n">
        <v>52.12112929</v>
      </c>
      <c r="F13" s="20" t="n">
        <v>3.23323267</v>
      </c>
      <c r="G13" s="18" t="n">
        <v>37.46994307</v>
      </c>
      <c r="H13" s="20" t="n">
        <v>3.31222662</v>
      </c>
      <c r="I13" s="18" t="s">
        <v>349</v>
      </c>
      <c r="J13" s="20" t="s">
        <v>349</v>
      </c>
      <c r="K13" s="18" t="n">
        <v>2.83081617</v>
      </c>
      <c r="L13" s="20" t="n">
        <v>0.95861475</v>
      </c>
      <c r="M13" s="18" t="n">
        <v>0</v>
      </c>
      <c r="N13" s="20" t="n">
        <v>0</v>
      </c>
      <c r="O13" s="18" t="n">
        <v>0</v>
      </c>
      <c r="P13" s="20" t="n">
        <v>0</v>
      </c>
      <c r="Q13" s="18" t="n">
        <v>7.57811147</v>
      </c>
      <c r="R13" s="20" t="n">
        <v>1.3056425</v>
      </c>
    </row>
    <row r="14" spans="1:18">
      <c r="A14" s="15" t="s">
        <v>356</v>
      </c>
      <c r="B14" s="17" t="n">
        <v>2799</v>
      </c>
      <c r="C14" s="18">
        <f>(2425.0/B14*100)</f>
        <v/>
      </c>
      <c r="D14" s="19" t="n">
        <v>374</v>
      </c>
      <c r="E14" s="18" t="n">
        <v>43.68292606</v>
      </c>
      <c r="F14" s="20" t="n">
        <v>2.67632581</v>
      </c>
      <c r="G14" s="18" t="n">
        <v>50.70683883</v>
      </c>
      <c r="H14" s="20" t="n">
        <v>2.57370455</v>
      </c>
      <c r="I14" s="18" t="s">
        <v>349</v>
      </c>
      <c r="J14" s="20" t="s">
        <v>349</v>
      </c>
      <c r="K14" s="18" t="n">
        <v>2.22736683</v>
      </c>
      <c r="L14" s="20" t="n">
        <v>0.65062696</v>
      </c>
      <c r="M14" s="18" t="n">
        <v>0</v>
      </c>
      <c r="N14" s="20" t="n">
        <v>0</v>
      </c>
      <c r="O14" s="18" t="n">
        <v>0</v>
      </c>
      <c r="P14" s="20" t="n">
        <v>0</v>
      </c>
      <c r="Q14" s="18" t="n">
        <v>3.38286828</v>
      </c>
      <c r="R14" s="20" t="n">
        <v>0.86614052</v>
      </c>
    </row>
    <row r="15" spans="1:18">
      <c r="A15" s="15" t="s">
        <v>357</v>
      </c>
      <c r="B15" s="17" t="n">
        <v>3019</v>
      </c>
      <c r="C15" s="18">
        <f>(2650.0/B15*100)</f>
        <v/>
      </c>
      <c r="D15" s="19" t="n">
        <v>369</v>
      </c>
      <c r="E15" s="18" t="n">
        <v>55.49171265</v>
      </c>
      <c r="F15" s="20" t="n">
        <v>2.67108919</v>
      </c>
      <c r="G15" s="18" t="n">
        <v>33.07549272</v>
      </c>
      <c r="H15" s="20" t="n">
        <v>2.51643557</v>
      </c>
      <c r="I15" s="18" t="s">
        <v>349</v>
      </c>
      <c r="J15" s="20" t="s">
        <v>349</v>
      </c>
      <c r="K15" s="18" t="n">
        <v>4.5146445</v>
      </c>
      <c r="L15" s="20" t="n">
        <v>1.04864022</v>
      </c>
      <c r="M15" s="18" t="n">
        <v>0</v>
      </c>
      <c r="N15" s="20" t="n">
        <v>0</v>
      </c>
      <c r="O15" s="18" t="n">
        <v>0</v>
      </c>
      <c r="P15" s="20" t="n">
        <v>0</v>
      </c>
      <c r="Q15" s="18" t="n">
        <v>6.91815013</v>
      </c>
      <c r="R15" s="20" t="n">
        <v>1.53965711</v>
      </c>
    </row>
    <row r="16" spans="1:18">
      <c r="A16" s="15" t="s">
        <v>358</v>
      </c>
      <c r="B16" s="17" t="n">
        <v>2997</v>
      </c>
      <c r="C16" s="18">
        <f>(2621.0/B16*100)</f>
        <v/>
      </c>
      <c r="D16" s="19" t="n">
        <v>376</v>
      </c>
      <c r="E16" s="18" t="n">
        <v>35.57704559</v>
      </c>
      <c r="F16" s="20" t="n">
        <v>2.70495658</v>
      </c>
      <c r="G16" s="18" t="n">
        <v>41.1603679</v>
      </c>
      <c r="H16" s="20" t="n">
        <v>2.36353009</v>
      </c>
      <c r="I16" s="18" t="s">
        <v>349</v>
      </c>
      <c r="J16" s="20" t="s">
        <v>349</v>
      </c>
      <c r="K16" s="18" t="n">
        <v>12.99416725</v>
      </c>
      <c r="L16" s="20" t="n">
        <v>1.53686821</v>
      </c>
      <c r="M16" s="18" t="n">
        <v>0</v>
      </c>
      <c r="N16" s="20" t="n">
        <v>0</v>
      </c>
      <c r="O16" s="18" t="n">
        <v>0</v>
      </c>
      <c r="P16" s="20" t="n">
        <v>0</v>
      </c>
      <c r="Q16" s="18" t="n">
        <v>10.26841925</v>
      </c>
      <c r="R16" s="20" t="n">
        <v>1.79599641</v>
      </c>
    </row>
    <row r="17" spans="1:18">
      <c r="A17" s="15" t="s">
        <v>359</v>
      </c>
      <c r="B17" s="17" t="n">
        <v>3307</v>
      </c>
      <c r="C17" s="18">
        <f>(2922.0/B17*100)</f>
        <v/>
      </c>
      <c r="D17" s="19" t="n">
        <v>385</v>
      </c>
      <c r="E17" s="18" t="n">
        <v>46.28332874</v>
      </c>
      <c r="F17" s="20" t="n">
        <v>2.70452325</v>
      </c>
      <c r="G17" s="18" t="n">
        <v>39.44351067</v>
      </c>
      <c r="H17" s="20" t="n">
        <v>2.50332488</v>
      </c>
      <c r="I17" s="18" t="s">
        <v>349</v>
      </c>
      <c r="J17" s="20" t="s">
        <v>349</v>
      </c>
      <c r="K17" s="18" t="n">
        <v>3.7921143</v>
      </c>
      <c r="L17" s="20" t="n">
        <v>1.00197838</v>
      </c>
      <c r="M17" s="18" t="n">
        <v>0</v>
      </c>
      <c r="N17" s="20" t="n">
        <v>0</v>
      </c>
      <c r="O17" s="18" t="n">
        <v>0</v>
      </c>
      <c r="P17" s="20" t="n">
        <v>0</v>
      </c>
      <c r="Q17" s="18" t="n">
        <v>10.48104629</v>
      </c>
      <c r="R17" s="20" t="n">
        <v>1.56879194</v>
      </c>
    </row>
    <row r="18" spans="1:18">
      <c r="A18" s="15" t="s">
        <v>360</v>
      </c>
      <c r="B18" s="17" t="n">
        <v>2826</v>
      </c>
      <c r="C18" s="18">
        <f>(2456.0/B18*100)</f>
        <v/>
      </c>
      <c r="D18" s="19" t="n">
        <v>370</v>
      </c>
      <c r="E18" s="18" t="n">
        <v>62.77551841</v>
      </c>
      <c r="F18" s="20" t="n">
        <v>2.5875768</v>
      </c>
      <c r="G18" s="18" t="n">
        <v>22.21770644</v>
      </c>
      <c r="H18" s="20" t="n">
        <v>2.21321797</v>
      </c>
      <c r="I18" s="18" t="s">
        <v>349</v>
      </c>
      <c r="J18" s="20" t="s">
        <v>349</v>
      </c>
      <c r="K18" s="18" t="n">
        <v>7.52384125</v>
      </c>
      <c r="L18" s="20" t="n">
        <v>1.58817325</v>
      </c>
      <c r="M18" s="18" t="n">
        <v>0</v>
      </c>
      <c r="N18" s="20" t="n">
        <v>0</v>
      </c>
      <c r="O18" s="18" t="n">
        <v>0</v>
      </c>
      <c r="P18" s="20" t="n">
        <v>0</v>
      </c>
      <c r="Q18" s="18" t="n">
        <v>7.48293391</v>
      </c>
      <c r="R18" s="20" t="n">
        <v>1.38369941</v>
      </c>
    </row>
    <row r="19" spans="1:18">
      <c r="A19" s="15" t="s">
        <v>361</v>
      </c>
      <c r="B19" s="17" t="n">
        <v>2808</v>
      </c>
      <c r="C19" s="18">
        <f>(2486.0/B19*100)</f>
        <v/>
      </c>
      <c r="D19" s="19" t="n">
        <v>322</v>
      </c>
      <c r="E19" s="18" t="n">
        <v>45.77934502</v>
      </c>
      <c r="F19" s="20" t="n">
        <v>3.148751</v>
      </c>
      <c r="G19" s="18" t="n">
        <v>38.35519902</v>
      </c>
      <c r="H19" s="20" t="n">
        <v>3.17104579</v>
      </c>
      <c r="I19" s="18" t="s">
        <v>349</v>
      </c>
      <c r="J19" s="20" t="s">
        <v>349</v>
      </c>
      <c r="K19" s="18" t="n">
        <v>3.3406919</v>
      </c>
      <c r="L19" s="20" t="n">
        <v>1.02511059</v>
      </c>
      <c r="M19" s="18" t="n">
        <v>0</v>
      </c>
      <c r="N19" s="20" t="n">
        <v>0</v>
      </c>
      <c r="O19" s="18" t="n">
        <v>0</v>
      </c>
      <c r="P19" s="20" t="n">
        <v>0</v>
      </c>
      <c r="Q19" s="18" t="n">
        <v>12.52476406</v>
      </c>
      <c r="R19" s="20" t="n">
        <v>2.07804335</v>
      </c>
    </row>
    <row r="20" spans="1:18">
      <c r="A20" s="15" t="s">
        <v>362</v>
      </c>
      <c r="B20" s="17" t="n">
        <v>1630</v>
      </c>
      <c r="C20" s="18">
        <f>(1432.0/B20*100)</f>
        <v/>
      </c>
      <c r="D20" s="19" t="n">
        <v>198</v>
      </c>
      <c r="E20" s="18" t="n">
        <v>65.22210291</v>
      </c>
      <c r="F20" s="20" t="n">
        <v>3.04075946</v>
      </c>
      <c r="G20" s="18" t="n">
        <v>18.37784303</v>
      </c>
      <c r="H20" s="20" t="n">
        <v>2.91434022</v>
      </c>
      <c r="I20" s="18" t="s">
        <v>349</v>
      </c>
      <c r="J20" s="20" t="s">
        <v>349</v>
      </c>
      <c r="K20" s="18" t="n">
        <v>9.882916870000001</v>
      </c>
      <c r="L20" s="20" t="n">
        <v>1.95503525</v>
      </c>
      <c r="M20" s="18" t="n">
        <v>0</v>
      </c>
      <c r="N20" s="20" t="n">
        <v>0</v>
      </c>
      <c r="O20" s="18" t="n">
        <v>0</v>
      </c>
      <c r="P20" s="20" t="n">
        <v>0</v>
      </c>
      <c r="Q20" s="18" t="n">
        <v>6.51713719</v>
      </c>
      <c r="R20" s="20" t="n">
        <v>1.82222763</v>
      </c>
    </row>
    <row r="21" spans="1:18">
      <c r="A21" s="15" t="s">
        <v>363</v>
      </c>
      <c r="B21" s="17" t="n">
        <v>2908</v>
      </c>
      <c r="C21" s="18">
        <f>(2425.0/B21*100)</f>
        <v/>
      </c>
      <c r="D21" s="19" t="n">
        <v>483</v>
      </c>
      <c r="E21" s="18" t="n">
        <v>46.38844916</v>
      </c>
      <c r="F21" s="20" t="n">
        <v>2.50964148</v>
      </c>
      <c r="G21" s="18" t="n">
        <v>45.65421091</v>
      </c>
      <c r="H21" s="20" t="n">
        <v>2.63465208</v>
      </c>
      <c r="I21" s="18" t="s">
        <v>349</v>
      </c>
      <c r="J21" s="20" t="s">
        <v>349</v>
      </c>
      <c r="K21" s="18" t="n">
        <v>3.20157823</v>
      </c>
      <c r="L21" s="20" t="n">
        <v>0.91832956</v>
      </c>
      <c r="M21" s="18" t="n">
        <v>0</v>
      </c>
      <c r="N21" s="20" t="n">
        <v>0</v>
      </c>
      <c r="O21" s="18" t="n">
        <v>0</v>
      </c>
      <c r="P21" s="20" t="n">
        <v>0</v>
      </c>
      <c r="Q21" s="18" t="n">
        <v>4.75576169</v>
      </c>
      <c r="R21" s="20" t="n">
        <v>0.87985649</v>
      </c>
    </row>
    <row r="22" spans="1:18">
      <c r="A22" s="15" t="s">
        <v>364</v>
      </c>
      <c r="B22" s="17" t="n">
        <v>2931</v>
      </c>
      <c r="C22" s="18">
        <f>(2580.0/B22*100)</f>
        <v/>
      </c>
      <c r="D22" s="19" t="n">
        <v>351</v>
      </c>
      <c r="E22" s="18" t="n">
        <v>47.9592432</v>
      </c>
      <c r="F22" s="20" t="n">
        <v>2.52278162</v>
      </c>
      <c r="G22" s="18" t="n">
        <v>37.11764992</v>
      </c>
      <c r="H22" s="20" t="n">
        <v>2.55859684</v>
      </c>
      <c r="I22" s="18" t="s">
        <v>349</v>
      </c>
      <c r="J22" s="20" t="s">
        <v>349</v>
      </c>
      <c r="K22" s="18" t="n">
        <v>6.86817998</v>
      </c>
      <c r="L22" s="20" t="n">
        <v>1.44825037</v>
      </c>
      <c r="M22" s="18" t="n">
        <v>0</v>
      </c>
      <c r="N22" s="20" t="n">
        <v>0</v>
      </c>
      <c r="O22" s="18" t="n">
        <v>0</v>
      </c>
      <c r="P22" s="20" t="n">
        <v>0</v>
      </c>
      <c r="Q22" s="18" t="n">
        <v>8.054926890000001</v>
      </c>
      <c r="R22" s="20" t="n">
        <v>1.69702211</v>
      </c>
    </row>
    <row r="23" spans="1:18">
      <c r="A23" s="15" t="s">
        <v>365</v>
      </c>
      <c r="B23" s="17" t="n">
        <v>5791</v>
      </c>
      <c r="C23" s="18">
        <f>(5106.0/B23*100)</f>
        <v/>
      </c>
      <c r="D23" s="19" t="n">
        <v>685</v>
      </c>
      <c r="E23" s="18" t="n">
        <v>45.23615111</v>
      </c>
      <c r="F23" s="20" t="n">
        <v>2.15018842</v>
      </c>
      <c r="G23" s="18" t="n">
        <v>31.71358763</v>
      </c>
      <c r="H23" s="20" t="n">
        <v>1.80925889</v>
      </c>
      <c r="I23" s="18" t="s">
        <v>349</v>
      </c>
      <c r="J23" s="20" t="s">
        <v>349</v>
      </c>
      <c r="K23" s="18" t="n">
        <v>9.997652520000001</v>
      </c>
      <c r="L23" s="20" t="n">
        <v>1.69007159</v>
      </c>
      <c r="M23" s="18" t="n">
        <v>0</v>
      </c>
      <c r="N23" s="20" t="n">
        <v>0</v>
      </c>
      <c r="O23" s="18" t="n">
        <v>0</v>
      </c>
      <c r="P23" s="20" t="n">
        <v>0</v>
      </c>
      <c r="Q23" s="18" t="n">
        <v>13.05260874</v>
      </c>
      <c r="R23" s="20" t="n">
        <v>1.92336442</v>
      </c>
    </row>
    <row r="24" spans="1:18">
      <c r="A24" s="15" t="s">
        <v>366</v>
      </c>
      <c r="B24" s="17" t="n">
        <v>3338</v>
      </c>
      <c r="C24" s="18">
        <f>(2929.0/B24*100)</f>
        <v/>
      </c>
      <c r="D24" s="19" t="n">
        <v>409</v>
      </c>
      <c r="E24" s="18" t="n">
        <v>35.47267812</v>
      </c>
      <c r="F24" s="20" t="n">
        <v>2.42624878</v>
      </c>
      <c r="G24" s="18" t="n">
        <v>44.91969894</v>
      </c>
      <c r="H24" s="20" t="n">
        <v>2.12672388</v>
      </c>
      <c r="I24" s="18" t="s">
        <v>349</v>
      </c>
      <c r="J24" s="20" t="s">
        <v>349</v>
      </c>
      <c r="K24" s="18" t="n">
        <v>5.07507197</v>
      </c>
      <c r="L24" s="20" t="n">
        <v>1.21849525</v>
      </c>
      <c r="M24" s="18" t="n">
        <v>0</v>
      </c>
      <c r="N24" s="20" t="n">
        <v>0</v>
      </c>
      <c r="O24" s="18" t="n">
        <v>0</v>
      </c>
      <c r="P24" s="20" t="n">
        <v>0</v>
      </c>
      <c r="Q24" s="18" t="n">
        <v>14.53255097</v>
      </c>
      <c r="R24" s="20" t="n">
        <v>2.00289261</v>
      </c>
    </row>
    <row r="25" spans="1:18">
      <c r="A25" s="15" t="s">
        <v>367</v>
      </c>
      <c r="B25" s="17" t="n">
        <v>2912</v>
      </c>
      <c r="C25" s="18">
        <f>(2542.0/B25*100)</f>
        <v/>
      </c>
      <c r="D25" s="19" t="n">
        <v>370</v>
      </c>
      <c r="E25" s="18" t="n">
        <v>44.28557762</v>
      </c>
      <c r="F25" s="20" t="n">
        <v>1.91266935</v>
      </c>
      <c r="G25" s="18" t="n">
        <v>40.40101223</v>
      </c>
      <c r="H25" s="20" t="n">
        <v>2.19580949</v>
      </c>
      <c r="I25" s="18" t="s">
        <v>349</v>
      </c>
      <c r="J25" s="20" t="s">
        <v>349</v>
      </c>
      <c r="K25" s="18" t="n">
        <v>4.93171256</v>
      </c>
      <c r="L25" s="20" t="n">
        <v>1.18031637</v>
      </c>
      <c r="M25" s="18" t="n">
        <v>0</v>
      </c>
      <c r="N25" s="20" t="n">
        <v>0</v>
      </c>
      <c r="O25" s="18" t="n">
        <v>0</v>
      </c>
      <c r="P25" s="20" t="n">
        <v>0</v>
      </c>
      <c r="Q25" s="18" t="n">
        <v>10.38169759</v>
      </c>
      <c r="R25" s="20" t="n">
        <v>1.41433558</v>
      </c>
    </row>
    <row r="26" spans="1:18">
      <c r="A26" s="15" t="s">
        <v>368</v>
      </c>
      <c r="B26" s="17" t="n">
        <v>2450</v>
      </c>
      <c r="C26" s="18">
        <f>(2165.0/B26*100)</f>
        <v/>
      </c>
      <c r="D26" s="19" t="n">
        <v>285</v>
      </c>
      <c r="E26" s="18" t="n">
        <v>62.74875192</v>
      </c>
      <c r="F26" s="20" t="n">
        <v>2.79843034</v>
      </c>
      <c r="G26" s="18" t="n">
        <v>29.0960424</v>
      </c>
      <c r="H26" s="20" t="n">
        <v>2.7521593</v>
      </c>
      <c r="I26" s="18" t="s">
        <v>349</v>
      </c>
      <c r="J26" s="20" t="s">
        <v>349</v>
      </c>
      <c r="K26" s="18" t="n">
        <v>3.55570751</v>
      </c>
      <c r="L26" s="20" t="n">
        <v>1.18396616</v>
      </c>
      <c r="M26" s="18" t="n">
        <v>0</v>
      </c>
      <c r="N26" s="20" t="n">
        <v>0</v>
      </c>
      <c r="O26" s="18" t="n">
        <v>0</v>
      </c>
      <c r="P26" s="20" t="n">
        <v>0</v>
      </c>
      <c r="Q26" s="18" t="n">
        <v>4.59949817</v>
      </c>
      <c r="R26" s="20" t="n">
        <v>1.30881802</v>
      </c>
    </row>
    <row r="27" spans="1:18">
      <c r="A27" s="15" t="s">
        <v>369</v>
      </c>
      <c r="B27" s="17" t="n">
        <v>2616</v>
      </c>
      <c r="C27" s="18">
        <f>(2303.0/B27*100)</f>
        <v/>
      </c>
      <c r="D27" s="19" t="n">
        <v>313</v>
      </c>
      <c r="E27" s="18" t="n">
        <v>54.580896</v>
      </c>
      <c r="F27" s="20" t="n">
        <v>2.31782441</v>
      </c>
      <c r="G27" s="18" t="n">
        <v>30.05579672</v>
      </c>
      <c r="H27" s="20" t="n">
        <v>2.39725089</v>
      </c>
      <c r="I27" s="18" t="s">
        <v>349</v>
      </c>
      <c r="J27" s="20" t="s">
        <v>349</v>
      </c>
      <c r="K27" s="18" t="n">
        <v>6.10348943</v>
      </c>
      <c r="L27" s="20" t="n">
        <v>1.42852186</v>
      </c>
      <c r="M27" s="18" t="n">
        <v>0</v>
      </c>
      <c r="N27" s="20" t="n">
        <v>0</v>
      </c>
      <c r="O27" s="18" t="n">
        <v>0</v>
      </c>
      <c r="P27" s="20" t="n">
        <v>0</v>
      </c>
      <c r="Q27" s="18" t="n">
        <v>9.25981784</v>
      </c>
      <c r="R27" s="20" t="n">
        <v>1.55298812</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59.20190744</v>
      </c>
      <c r="F29" s="20" t="n">
        <v>2.81310249</v>
      </c>
      <c r="G29" s="18" t="n">
        <v>34.19613575</v>
      </c>
      <c r="H29" s="20" t="n">
        <v>2.49877981</v>
      </c>
      <c r="I29" s="18" t="s">
        <v>349</v>
      </c>
      <c r="J29" s="20" t="s">
        <v>349</v>
      </c>
      <c r="K29" s="18" t="n">
        <v>2.77909955</v>
      </c>
      <c r="L29" s="20" t="n">
        <v>0.93795161</v>
      </c>
      <c r="M29" s="18" t="n">
        <v>0</v>
      </c>
      <c r="N29" s="20" t="n">
        <v>0</v>
      </c>
      <c r="O29" s="18" t="n">
        <v>0</v>
      </c>
      <c r="P29" s="20" t="n">
        <v>0</v>
      </c>
      <c r="Q29" s="18" t="n">
        <v>3.82285725</v>
      </c>
      <c r="R29" s="20" t="n">
        <v>1.14901144</v>
      </c>
    </row>
    <row r="30" spans="1:18">
      <c r="A30" s="15" t="s">
        <v>372</v>
      </c>
      <c r="B30" s="17" t="n">
        <v>2263</v>
      </c>
      <c r="C30" s="18">
        <f>(2017.0/B30*100)</f>
        <v/>
      </c>
      <c r="D30" s="19" t="n">
        <v>246</v>
      </c>
      <c r="E30" s="18" t="n">
        <v>44.1924011</v>
      </c>
      <c r="F30" s="20" t="n">
        <v>3.21040773</v>
      </c>
      <c r="G30" s="18" t="n">
        <v>40.81868022</v>
      </c>
      <c r="H30" s="20" t="n">
        <v>3.45920187</v>
      </c>
      <c r="I30" s="18" t="s">
        <v>349</v>
      </c>
      <c r="J30" s="20" t="s">
        <v>349</v>
      </c>
      <c r="K30" s="18" t="n">
        <v>5.77111586</v>
      </c>
      <c r="L30" s="20" t="n">
        <v>1.68922895</v>
      </c>
      <c r="M30" s="18" t="n">
        <v>0</v>
      </c>
      <c r="N30" s="20" t="n">
        <v>0</v>
      </c>
      <c r="O30" s="18" t="n">
        <v>0</v>
      </c>
      <c r="P30" s="20" t="n">
        <v>0</v>
      </c>
      <c r="Q30" s="18" t="n">
        <v>9.21780281</v>
      </c>
      <c r="R30" s="20" t="n">
        <v>1.93665184</v>
      </c>
    </row>
    <row r="31" spans="1:18">
      <c r="A31" s="15" t="s">
        <v>373</v>
      </c>
      <c r="B31" s="17" t="n">
        <v>2750</v>
      </c>
      <c r="C31" s="18">
        <f>(2408.0/B31*100)</f>
        <v/>
      </c>
      <c r="D31" s="19" t="n">
        <v>342</v>
      </c>
      <c r="E31" s="18" t="n">
        <v>52.46417864</v>
      </c>
      <c r="F31" s="20" t="n">
        <v>2.97958416</v>
      </c>
      <c r="G31" s="18" t="n">
        <v>33.75123218</v>
      </c>
      <c r="H31" s="20" t="n">
        <v>3.08007819</v>
      </c>
      <c r="I31" s="18" t="s">
        <v>349</v>
      </c>
      <c r="J31" s="20" t="s">
        <v>349</v>
      </c>
      <c r="K31" s="18" t="n">
        <v>6.23901248</v>
      </c>
      <c r="L31" s="20" t="n">
        <v>1.27432879</v>
      </c>
      <c r="M31" s="18" t="n">
        <v>0</v>
      </c>
      <c r="N31" s="20" t="n">
        <v>0</v>
      </c>
      <c r="O31" s="18" t="n">
        <v>0</v>
      </c>
      <c r="P31" s="20" t="n">
        <v>0</v>
      </c>
      <c r="Q31" s="18" t="n">
        <v>7.5455767</v>
      </c>
      <c r="R31" s="20" t="n">
        <v>1.43064404</v>
      </c>
    </row>
    <row r="32" spans="1:18">
      <c r="A32" s="15" t="s">
        <v>374</v>
      </c>
      <c r="B32" s="17" t="n">
        <v>2269</v>
      </c>
      <c r="C32" s="18">
        <f>(1903.0/B32*100)</f>
        <v/>
      </c>
      <c r="D32" s="19" t="n">
        <v>366</v>
      </c>
      <c r="E32" s="18" t="n">
        <v>46.60258282</v>
      </c>
      <c r="F32" s="20" t="n">
        <v>2.67415846</v>
      </c>
      <c r="G32" s="18" t="n">
        <v>39.99372277</v>
      </c>
      <c r="H32" s="20" t="n">
        <v>3.00695108</v>
      </c>
      <c r="I32" s="18" t="s">
        <v>349</v>
      </c>
      <c r="J32" s="20" t="s">
        <v>349</v>
      </c>
      <c r="K32" s="18" t="n">
        <v>3.49096086</v>
      </c>
      <c r="L32" s="20" t="n">
        <v>0.97683156</v>
      </c>
      <c r="M32" s="18" t="n">
        <v>0</v>
      </c>
      <c r="N32" s="20" t="n">
        <v>0</v>
      </c>
      <c r="O32" s="18" t="n">
        <v>0</v>
      </c>
      <c r="P32" s="20" t="n">
        <v>0</v>
      </c>
      <c r="Q32" s="18" t="n">
        <v>9.91273355</v>
      </c>
      <c r="R32" s="20" t="n">
        <v>1.74421366</v>
      </c>
    </row>
    <row r="33" spans="1:18">
      <c r="A33" s="15" t="s">
        <v>375</v>
      </c>
      <c r="B33" s="17" t="n">
        <v>3674</v>
      </c>
      <c r="C33" s="18">
        <f>(3258.0/B33*100)</f>
        <v/>
      </c>
      <c r="D33" s="19" t="n">
        <v>416</v>
      </c>
      <c r="E33" s="18" t="n">
        <v>42.66615209</v>
      </c>
      <c r="F33" s="20" t="n">
        <v>2.7407078</v>
      </c>
      <c r="G33" s="18" t="n">
        <v>42.26854237</v>
      </c>
      <c r="H33" s="20" t="n">
        <v>2.87771026</v>
      </c>
      <c r="I33" s="18" t="s">
        <v>349</v>
      </c>
      <c r="J33" s="20" t="s">
        <v>349</v>
      </c>
      <c r="K33" s="18" t="n">
        <v>6.11567334</v>
      </c>
      <c r="L33" s="20" t="n">
        <v>1.46306942</v>
      </c>
      <c r="M33" s="18" t="n">
        <v>0</v>
      </c>
      <c r="N33" s="20" t="n">
        <v>0</v>
      </c>
      <c r="O33" s="18" t="n">
        <v>0</v>
      </c>
      <c r="P33" s="20" t="n">
        <v>0</v>
      </c>
      <c r="Q33" s="18" t="n">
        <v>8.9496322</v>
      </c>
      <c r="R33" s="20" t="n">
        <v>1.46105874</v>
      </c>
    </row>
    <row r="34" spans="1:18">
      <c r="A34" s="15" t="s">
        <v>376</v>
      </c>
      <c r="B34" s="17" t="n">
        <v>3315</v>
      </c>
      <c r="C34" s="18">
        <f>(2948.0/B34*100)</f>
        <v/>
      </c>
      <c r="D34" s="19" t="n">
        <v>367</v>
      </c>
      <c r="E34" s="18" t="n">
        <v>53.63192518</v>
      </c>
      <c r="F34" s="20" t="n">
        <v>2.90071744</v>
      </c>
      <c r="G34" s="18" t="n">
        <v>28.32704656</v>
      </c>
      <c r="H34" s="20" t="n">
        <v>2.67146248</v>
      </c>
      <c r="I34" s="18" t="s">
        <v>349</v>
      </c>
      <c r="J34" s="20" t="s">
        <v>349</v>
      </c>
      <c r="K34" s="18" t="n">
        <v>5.52331985</v>
      </c>
      <c r="L34" s="20" t="n">
        <v>1.05303247</v>
      </c>
      <c r="M34" s="18" t="n">
        <v>0</v>
      </c>
      <c r="N34" s="20" t="n">
        <v>0</v>
      </c>
      <c r="O34" s="18" t="n">
        <v>0</v>
      </c>
      <c r="P34" s="20" t="n">
        <v>0</v>
      </c>
      <c r="Q34" s="18" t="n">
        <v>12.51770841</v>
      </c>
      <c r="R34" s="20" t="n">
        <v>1.91587477</v>
      </c>
    </row>
    <row r="35" spans="1:18">
      <c r="A35" s="15" t="s">
        <v>377</v>
      </c>
      <c r="B35" s="17" t="n">
        <v>3505</v>
      </c>
      <c r="C35" s="18">
        <f>(3078.0/B35*100)</f>
        <v/>
      </c>
      <c r="D35" s="19" t="n">
        <v>427</v>
      </c>
      <c r="E35" s="18" t="n">
        <v>44.59661912</v>
      </c>
      <c r="F35" s="20" t="n">
        <v>2.98565646</v>
      </c>
      <c r="G35" s="18" t="n">
        <v>44.94909079</v>
      </c>
      <c r="H35" s="20" t="n">
        <v>2.95002962</v>
      </c>
      <c r="I35" s="18" t="s">
        <v>349</v>
      </c>
      <c r="J35" s="20" t="s">
        <v>349</v>
      </c>
      <c r="K35" s="18" t="n">
        <v>4.97975096</v>
      </c>
      <c r="L35" s="20" t="n">
        <v>1.09574236</v>
      </c>
      <c r="M35" s="18" t="n">
        <v>0.40398447</v>
      </c>
      <c r="N35" s="20" t="n">
        <v>0.40541666</v>
      </c>
      <c r="O35" s="18" t="n">
        <v>0</v>
      </c>
      <c r="P35" s="20" t="n">
        <v>0</v>
      </c>
      <c r="Q35" s="18" t="n">
        <v>5.07055467</v>
      </c>
      <c r="R35" s="20" t="n">
        <v>1.31972448</v>
      </c>
    </row>
    <row r="36" spans="1:18">
      <c r="A36" s="15" t="s">
        <v>378</v>
      </c>
      <c r="B36" s="17" t="n">
        <v>3332</v>
      </c>
      <c r="C36" s="18">
        <f>(2938.0/B36*100)</f>
        <v/>
      </c>
      <c r="D36" s="19" t="n">
        <v>394</v>
      </c>
      <c r="E36" s="18" t="n">
        <v>52.5091633</v>
      </c>
      <c r="F36" s="20" t="n">
        <v>2.72634993</v>
      </c>
      <c r="G36" s="18" t="n">
        <v>38.50300992</v>
      </c>
      <c r="H36" s="20" t="n">
        <v>2.78883531</v>
      </c>
      <c r="I36" s="18" t="s">
        <v>349</v>
      </c>
      <c r="J36" s="20" t="s">
        <v>349</v>
      </c>
      <c r="K36" s="18" t="n">
        <v>5.52378574</v>
      </c>
      <c r="L36" s="20" t="n">
        <v>1.24510311</v>
      </c>
      <c r="M36" s="18" t="n">
        <v>0</v>
      </c>
      <c r="N36" s="20" t="n">
        <v>0</v>
      </c>
      <c r="O36" s="18" t="n">
        <v>0</v>
      </c>
      <c r="P36" s="20" t="n">
        <v>0</v>
      </c>
      <c r="Q36" s="18" t="n">
        <v>3.46404104</v>
      </c>
      <c r="R36" s="20" t="n">
        <v>1.03714067</v>
      </c>
    </row>
    <row r="37" spans="1:18">
      <c r="A37" s="15" t="s">
        <v>379</v>
      </c>
      <c r="B37" s="17" t="n">
        <v>2727</v>
      </c>
      <c r="C37" s="18">
        <f>(2421.0/B37*100)</f>
        <v/>
      </c>
      <c r="D37" s="19" t="n">
        <v>306</v>
      </c>
      <c r="E37" s="18" t="n">
        <v>43.81901217</v>
      </c>
      <c r="F37" s="20" t="n">
        <v>2.74692589</v>
      </c>
      <c r="G37" s="18" t="n">
        <v>30.85160006</v>
      </c>
      <c r="H37" s="20" t="n">
        <v>2.37357887</v>
      </c>
      <c r="I37" s="18" t="s">
        <v>349</v>
      </c>
      <c r="J37" s="20" t="s">
        <v>349</v>
      </c>
      <c r="K37" s="18" t="n">
        <v>13.01117903</v>
      </c>
      <c r="L37" s="20" t="n">
        <v>2.19402765</v>
      </c>
      <c r="M37" s="18" t="n">
        <v>0</v>
      </c>
      <c r="N37" s="20" t="n">
        <v>0</v>
      </c>
      <c r="O37" s="18" t="n">
        <v>0</v>
      </c>
      <c r="P37" s="20" t="n">
        <v>0</v>
      </c>
      <c r="Q37" s="18" t="n">
        <v>12.31820874</v>
      </c>
      <c r="R37" s="20" t="n">
        <v>1.87951723</v>
      </c>
    </row>
    <row r="38" spans="1:18">
      <c r="A38" s="15" t="s">
        <v>380</v>
      </c>
      <c r="B38" s="17" t="n">
        <v>3053</v>
      </c>
      <c r="C38" s="18">
        <f>(2559.0/B38*100)</f>
        <v/>
      </c>
      <c r="D38" s="19" t="n">
        <v>494</v>
      </c>
      <c r="E38" s="18" t="n">
        <v>45.11948177</v>
      </c>
      <c r="F38" s="20" t="n">
        <v>2.63361485</v>
      </c>
      <c r="G38" s="18" t="n">
        <v>40.86676933</v>
      </c>
      <c r="H38" s="20" t="n">
        <v>2.83693754</v>
      </c>
      <c r="I38" s="18" t="s">
        <v>349</v>
      </c>
      <c r="J38" s="20" t="s">
        <v>349</v>
      </c>
      <c r="K38" s="18" t="n">
        <v>6.86847546</v>
      </c>
      <c r="L38" s="20" t="n">
        <v>1.59390928</v>
      </c>
      <c r="M38" s="18" t="n">
        <v>0.26758114</v>
      </c>
      <c r="N38" s="20" t="n">
        <v>0.26645455</v>
      </c>
      <c r="O38" s="18" t="n">
        <v>0</v>
      </c>
      <c r="P38" s="20" t="n">
        <v>0</v>
      </c>
      <c r="Q38" s="18" t="n">
        <v>6.8776923</v>
      </c>
      <c r="R38" s="20" t="n">
        <v>1.49443799</v>
      </c>
    </row>
    <row r="39" spans="1:18">
      <c r="A39" s="15" t="s">
        <v>381</v>
      </c>
      <c r="B39" s="17" t="n">
        <v>2957</v>
      </c>
      <c r="C39" s="18">
        <f>(2581.0/B39*100)</f>
        <v/>
      </c>
      <c r="D39" s="19" t="n">
        <v>376</v>
      </c>
      <c r="E39" s="18" t="n">
        <v>70.58821631000001</v>
      </c>
      <c r="F39" s="20" t="n">
        <v>2.41409286</v>
      </c>
      <c r="G39" s="18" t="n">
        <v>17.54595973</v>
      </c>
      <c r="H39" s="20" t="n">
        <v>2.30408086</v>
      </c>
      <c r="I39" s="18" t="s">
        <v>349</v>
      </c>
      <c r="J39" s="20" t="s">
        <v>349</v>
      </c>
      <c r="K39" s="18" t="n">
        <v>3.93678892</v>
      </c>
      <c r="L39" s="20" t="n">
        <v>1.07758534</v>
      </c>
      <c r="M39" s="18" t="n">
        <v>0</v>
      </c>
      <c r="N39" s="20" t="n">
        <v>0</v>
      </c>
      <c r="O39" s="18" t="n">
        <v>0</v>
      </c>
      <c r="P39" s="20" t="n">
        <v>0</v>
      </c>
      <c r="Q39" s="18" t="n">
        <v>7.92903504</v>
      </c>
      <c r="R39" s="20" t="n">
        <v>1.54065299</v>
      </c>
    </row>
    <row r="40" spans="1:18">
      <c r="A40" s="15" t="s">
        <v>382</v>
      </c>
      <c r="B40" s="17" t="n">
        <v>7235</v>
      </c>
      <c r="C40" s="18">
        <f>(6373.0/B40*100)</f>
        <v/>
      </c>
      <c r="D40" s="19" t="n">
        <v>862</v>
      </c>
      <c r="E40" s="18" t="n">
        <v>44.37054709</v>
      </c>
      <c r="F40" s="20" t="n">
        <v>2.82727815</v>
      </c>
      <c r="G40" s="18" t="n">
        <v>41.82848687</v>
      </c>
      <c r="H40" s="20" t="n">
        <v>2.63650462</v>
      </c>
      <c r="I40" s="18" t="s">
        <v>349</v>
      </c>
      <c r="J40" s="20" t="s">
        <v>349</v>
      </c>
      <c r="K40" s="18" t="n">
        <v>5.05669303</v>
      </c>
      <c r="L40" s="20" t="n">
        <v>1.13376617</v>
      </c>
      <c r="M40" s="18" t="n">
        <v>0.24264242</v>
      </c>
      <c r="N40" s="20" t="n">
        <v>0.24224421</v>
      </c>
      <c r="O40" s="18" t="n">
        <v>0</v>
      </c>
      <c r="P40" s="20" t="n">
        <v>0</v>
      </c>
      <c r="Q40" s="18" t="n">
        <v>8.50163059</v>
      </c>
      <c r="R40" s="20" t="n">
        <v>1.40960605</v>
      </c>
    </row>
    <row r="41" spans="1:18">
      <c r="A41" s="15" t="s">
        <v>383</v>
      </c>
      <c r="B41" s="17" t="n">
        <v>2858</v>
      </c>
      <c r="C41" s="18">
        <f>(2540.0/B41*100)</f>
        <v/>
      </c>
      <c r="D41" s="19" t="n">
        <v>318</v>
      </c>
      <c r="E41" s="18" t="n">
        <v>55.4924548</v>
      </c>
      <c r="F41" s="20" t="n">
        <v>2.94096968</v>
      </c>
      <c r="G41" s="18" t="n">
        <v>39.44919032</v>
      </c>
      <c r="H41" s="20" t="n">
        <v>3.02531352</v>
      </c>
      <c r="I41" s="18" t="s">
        <v>349</v>
      </c>
      <c r="J41" s="20" t="s">
        <v>349</v>
      </c>
      <c r="K41" s="18" t="n">
        <v>0.29055039</v>
      </c>
      <c r="L41" s="20" t="n">
        <v>0.26656273</v>
      </c>
      <c r="M41" s="18" t="n">
        <v>0</v>
      </c>
      <c r="N41" s="20" t="n">
        <v>0</v>
      </c>
      <c r="O41" s="18" t="n">
        <v>0</v>
      </c>
      <c r="P41" s="20" t="n">
        <v>0</v>
      </c>
      <c r="Q41" s="18" t="n">
        <v>4.76780449</v>
      </c>
      <c r="R41" s="20" t="n">
        <v>1.14258467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(4512.0/B48*100)</f>
        <v/>
      </c>
      <c r="D48" s="19" t="n">
        <v>647</v>
      </c>
      <c r="E48" s="18" t="n">
        <v>40.609503</v>
      </c>
      <c r="F48" s="20" t="n">
        <v>2.94071826</v>
      </c>
      <c r="G48" s="18" t="n">
        <v>52.0108471</v>
      </c>
      <c r="H48" s="20" t="n">
        <v>3.25266814</v>
      </c>
      <c r="I48" s="18" t="s">
        <v>349</v>
      </c>
      <c r="J48" s="20" t="s">
        <v>349</v>
      </c>
      <c r="K48" s="18" t="n">
        <v>0.92596409</v>
      </c>
      <c r="L48" s="20" t="n">
        <v>0.6968412899999999</v>
      </c>
      <c r="M48" s="18" t="n">
        <v>0</v>
      </c>
      <c r="N48" s="20" t="n">
        <v>0</v>
      </c>
      <c r="O48" s="18" t="n">
        <v>0</v>
      </c>
      <c r="P48" s="20" t="n">
        <v>0</v>
      </c>
      <c r="Q48" s="18" t="n">
        <v>6.45368581</v>
      </c>
      <c r="R48" s="20" t="n">
        <v>1.36521003</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(2469.0/B52*100)</f>
        <v/>
      </c>
      <c r="D52" s="19" t="n">
        <v>327</v>
      </c>
      <c r="E52" s="18" t="n">
        <v>53.72693592</v>
      </c>
      <c r="F52" s="20" t="n">
        <v>3.01119228</v>
      </c>
      <c r="G52" s="18" t="n">
        <v>33.06214872</v>
      </c>
      <c r="H52" s="20" t="n">
        <v>2.85861026</v>
      </c>
      <c r="I52" s="18" t="s">
        <v>349</v>
      </c>
      <c r="J52" s="20" t="s">
        <v>349</v>
      </c>
      <c r="K52" s="18" t="n">
        <v>6.21240535</v>
      </c>
      <c r="L52" s="20" t="n">
        <v>1.32879327</v>
      </c>
      <c r="M52" s="18" t="n">
        <v>0</v>
      </c>
      <c r="N52" s="20" t="n">
        <v>0</v>
      </c>
      <c r="O52" s="18" t="n">
        <v>0</v>
      </c>
      <c r="P52" s="20" t="n">
        <v>0</v>
      </c>
      <c r="Q52" s="18" t="n">
        <v>6.99851002</v>
      </c>
      <c r="R52" s="20" t="n">
        <v>1.41550722</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(2346.0/B56*100)</f>
        <v/>
      </c>
      <c r="D56" s="19" t="n">
        <v>338</v>
      </c>
      <c r="E56" s="18" t="n">
        <v>42.3417727</v>
      </c>
      <c r="F56" s="20" t="n">
        <v>2.85779082</v>
      </c>
      <c r="G56" s="18" t="n">
        <v>47.7143562</v>
      </c>
      <c r="H56" s="20" t="n">
        <v>3.07093046</v>
      </c>
      <c r="I56" s="18" t="s">
        <v>349</v>
      </c>
      <c r="J56" s="20" t="s">
        <v>349</v>
      </c>
      <c r="K56" s="18" t="n">
        <v>2.25284817</v>
      </c>
      <c r="L56" s="20" t="n">
        <v>0.87509721</v>
      </c>
      <c r="M56" s="18" t="n">
        <v>0</v>
      </c>
      <c r="N56" s="20" t="n">
        <v>0</v>
      </c>
      <c r="O56" s="18" t="n">
        <v>0</v>
      </c>
      <c r="P56" s="20" t="n">
        <v>0</v>
      </c>
      <c r="Q56" s="18" t="n">
        <v>7.69102293</v>
      </c>
      <c r="R56" s="20" t="n">
        <v>1.64825497</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(2890.0/B61*100)</f>
        <v/>
      </c>
      <c r="D61" s="19" t="n">
        <v>434</v>
      </c>
      <c r="E61" s="18" t="n">
        <v>65.22281178999999</v>
      </c>
      <c r="F61" s="20" t="n">
        <v>2.57486261</v>
      </c>
      <c r="G61" s="18" t="n">
        <v>23.8588616</v>
      </c>
      <c r="H61" s="20" t="n">
        <v>2.43446918</v>
      </c>
      <c r="I61" s="18" t="s">
        <v>349</v>
      </c>
      <c r="J61" s="20" t="s">
        <v>349</v>
      </c>
      <c r="K61" s="18" t="n">
        <v>3.93877245</v>
      </c>
      <c r="L61" s="20" t="n">
        <v>1.03405001</v>
      </c>
      <c r="M61" s="18" t="n">
        <v>0</v>
      </c>
      <c r="N61" s="20" t="n">
        <v>0</v>
      </c>
      <c r="O61" s="18" t="n">
        <v>0</v>
      </c>
      <c r="P61" s="20" t="n">
        <v>0</v>
      </c>
      <c r="Q61" s="18" t="n">
        <v>6.97955416</v>
      </c>
      <c r="R61" s="20" t="n">
        <v>1.27803549</v>
      </c>
    </row>
    <row r="62" spans="1:18">
      <c r="A62" s="15" t="s">
        <v>404</v>
      </c>
      <c r="B62" s="17" t="n">
        <v>2246</v>
      </c>
      <c r="C62" s="18">
        <f>(1981.0/B62*100)</f>
        <v/>
      </c>
      <c r="D62" s="19" t="n">
        <v>265</v>
      </c>
      <c r="E62" s="18" t="n">
        <v>42.98849501</v>
      </c>
      <c r="F62" s="20" t="n">
        <v>3.38112135</v>
      </c>
      <c r="G62" s="18" t="n">
        <v>51.27837676</v>
      </c>
      <c r="H62" s="20" t="n">
        <v>3.38491926</v>
      </c>
      <c r="I62" s="18" t="s">
        <v>349</v>
      </c>
      <c r="J62" s="20" t="s">
        <v>349</v>
      </c>
      <c r="K62" s="18" t="n">
        <v>1.51840734</v>
      </c>
      <c r="L62" s="20" t="n">
        <v>0.75989012</v>
      </c>
      <c r="M62" s="18" t="n">
        <v>0</v>
      </c>
      <c r="N62" s="20" t="n">
        <v>0</v>
      </c>
      <c r="O62" s="18" t="n">
        <v>0</v>
      </c>
      <c r="P62" s="20" t="n">
        <v>0</v>
      </c>
      <c r="Q62" s="18" t="n">
        <v>4.21472089</v>
      </c>
      <c r="R62" s="20" t="n">
        <v>1.22869631</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(2534.0/B66*100)</f>
        <v/>
      </c>
      <c r="D66" s="19" t="n">
        <v>360</v>
      </c>
      <c r="E66" s="18" t="n">
        <v>50.1293594</v>
      </c>
      <c r="F66" s="20" t="n">
        <v>2.90153071</v>
      </c>
      <c r="G66" s="18" t="n">
        <v>26.84636091</v>
      </c>
      <c r="H66" s="20" t="n">
        <v>2.24955865</v>
      </c>
      <c r="I66" s="18" t="s">
        <v>349</v>
      </c>
      <c r="J66" s="20" t="s">
        <v>349</v>
      </c>
      <c r="K66" s="18" t="n">
        <v>14.54876555</v>
      </c>
      <c r="L66" s="20" t="n">
        <v>1.80317149</v>
      </c>
      <c r="M66" s="18" t="n">
        <v>0</v>
      </c>
      <c r="N66" s="20" t="n">
        <v>0</v>
      </c>
      <c r="O66" s="18" t="n">
        <v>0</v>
      </c>
      <c r="P66" s="20" t="n">
        <v>0</v>
      </c>
      <c r="Q66" s="18" t="n">
        <v>8.47551415</v>
      </c>
      <c r="R66" s="20" t="n">
        <v>1.72511145</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(5030.0/B68*100)</f>
        <v/>
      </c>
      <c r="D68" s="19" t="n">
        <v>1019</v>
      </c>
      <c r="E68" s="18" t="n">
        <v>64.9876979</v>
      </c>
      <c r="F68" s="20" t="n">
        <v>1.46440731</v>
      </c>
      <c r="G68" s="18" t="n">
        <v>18.40246033</v>
      </c>
      <c r="H68" s="20" t="n">
        <v>1.3210507</v>
      </c>
      <c r="I68" s="18" t="s">
        <v>349</v>
      </c>
      <c r="J68" s="20" t="s">
        <v>349</v>
      </c>
      <c r="K68" s="18" t="n">
        <v>11.85142949</v>
      </c>
      <c r="L68" s="20" t="n">
        <v>1.03503561</v>
      </c>
      <c r="M68" s="18" t="n">
        <v>0</v>
      </c>
      <c r="N68" s="20" t="n">
        <v>0</v>
      </c>
      <c r="O68" s="18" t="n">
        <v>0</v>
      </c>
      <c r="P68" s="20" t="n">
        <v>0</v>
      </c>
      <c r="Q68" s="18" t="n">
        <v>4.75841228</v>
      </c>
      <c r="R68" s="20" t="n">
        <v>0.7849364599999999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(2579.0/B70*100)</f>
        <v/>
      </c>
      <c r="D70" s="19" t="n">
        <v>350</v>
      </c>
      <c r="E70" s="18" t="n">
        <v>59.18292455</v>
      </c>
      <c r="F70" s="20" t="n">
        <v>3.00685788</v>
      </c>
      <c r="G70" s="18" t="n">
        <v>22.68770571</v>
      </c>
      <c r="H70" s="20" t="n">
        <v>2.43517797</v>
      </c>
      <c r="I70" s="18" t="s">
        <v>349</v>
      </c>
      <c r="J70" s="20" t="s">
        <v>349</v>
      </c>
      <c r="K70" s="18" t="n">
        <v>6.75499975</v>
      </c>
      <c r="L70" s="20" t="n">
        <v>1.81904414</v>
      </c>
      <c r="M70" s="18" t="n">
        <v>1.12979037</v>
      </c>
      <c r="N70" s="20" t="n">
        <v>0.5336116400000001</v>
      </c>
      <c r="O70" s="18" t="n">
        <v>0</v>
      </c>
      <c r="P70" s="20" t="n">
        <v>0</v>
      </c>
      <c r="Q70" s="18" t="n">
        <v>10.24457963</v>
      </c>
      <c r="R70" s="20" t="n">
        <v>2.21655086</v>
      </c>
    </row>
    <row r="71" spans="1:18">
      <c r="A71" s="15" t="s">
        <v>413</v>
      </c>
      <c r="B71" s="17" t="n">
        <v>3142</v>
      </c>
      <c r="C71" s="18">
        <f>(2755.0/B71*100)</f>
        <v/>
      </c>
      <c r="D71" s="19" t="n">
        <v>387</v>
      </c>
      <c r="E71" s="18" t="n">
        <v>32.03899029</v>
      </c>
      <c r="F71" s="20" t="n">
        <v>2.16186252</v>
      </c>
      <c r="G71" s="18" t="n">
        <v>64.00730718</v>
      </c>
      <c r="H71" s="20" t="n">
        <v>2.18887646</v>
      </c>
      <c r="I71" s="18" t="s">
        <v>349</v>
      </c>
      <c r="J71" s="20" t="s">
        <v>349</v>
      </c>
      <c r="K71" s="18" t="n">
        <v>2.20316805</v>
      </c>
      <c r="L71" s="20" t="n">
        <v>0.6754032800000001</v>
      </c>
      <c r="M71" s="18" t="n">
        <v>0</v>
      </c>
      <c r="N71" s="20" t="n">
        <v>0</v>
      </c>
      <c r="O71" s="18" t="n">
        <v>0</v>
      </c>
      <c r="P71" s="20" t="n">
        <v>0</v>
      </c>
      <c r="Q71" s="18" t="n">
        <v>1.75053449</v>
      </c>
      <c r="R71" s="20" t="n">
        <v>0.54245621</v>
      </c>
    </row>
    <row r="72" spans="1:18">
      <c r="A72" s="15" t="s">
        <v>414</v>
      </c>
      <c r="B72" s="17" t="n">
        <v>3889</v>
      </c>
      <c r="C72" s="18">
        <f>(3416.0/B72*100)</f>
        <v/>
      </c>
      <c r="D72" s="19" t="n">
        <v>473</v>
      </c>
      <c r="E72" s="18" t="n">
        <v>44.71438159</v>
      </c>
      <c r="F72" s="20" t="n">
        <v>2.73734587</v>
      </c>
      <c r="G72" s="18" t="n">
        <v>46.70314468</v>
      </c>
      <c r="H72" s="20" t="n">
        <v>2.77299586</v>
      </c>
      <c r="I72" s="18" t="s">
        <v>349</v>
      </c>
      <c r="J72" s="20" t="s">
        <v>349</v>
      </c>
      <c r="K72" s="18" t="n">
        <v>2.12558675</v>
      </c>
      <c r="L72" s="20" t="n">
        <v>0.64724203</v>
      </c>
      <c r="M72" s="18" t="n">
        <v>0</v>
      </c>
      <c r="N72" s="20" t="n">
        <v>0</v>
      </c>
      <c r="O72" s="18" t="n">
        <v>0</v>
      </c>
      <c r="P72" s="20" t="n">
        <v>0</v>
      </c>
      <c r="Q72" s="18" t="n">
        <v>6.45688697</v>
      </c>
      <c r="R72" s="20" t="n">
        <v>1.33779099</v>
      </c>
    </row>
    <row r="73" spans="1:18">
      <c r="A73" s="15" t="s">
        <v>415</v>
      </c>
      <c r="B73" s="17" t="n">
        <v>3597</v>
      </c>
      <c r="C73" s="18">
        <f>(3155.0/B73*100)</f>
        <v/>
      </c>
      <c r="D73" s="19" t="n">
        <v>442</v>
      </c>
      <c r="E73" s="18" t="n">
        <v>73.03763802</v>
      </c>
      <c r="F73" s="20" t="n">
        <v>2.61817012</v>
      </c>
      <c r="G73" s="18" t="n">
        <v>23.88334335</v>
      </c>
      <c r="H73" s="20" t="n">
        <v>2.51421994</v>
      </c>
      <c r="I73" s="18" t="s">
        <v>349</v>
      </c>
      <c r="J73" s="20" t="s">
        <v>349</v>
      </c>
      <c r="K73" s="18" t="n">
        <v>1.17594518</v>
      </c>
      <c r="L73" s="20" t="n">
        <v>0.92645076</v>
      </c>
      <c r="M73" s="18" t="n">
        <v>0</v>
      </c>
      <c r="N73" s="20" t="n">
        <v>0</v>
      </c>
      <c r="O73" s="18" t="n">
        <v>0</v>
      </c>
      <c r="P73" s="20" t="n">
        <v>0</v>
      </c>
      <c r="Q73" s="18" t="n">
        <v>1.90307344</v>
      </c>
      <c r="R73" s="20" t="n">
        <v>0.90119404</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(3650.0/B81*100)</f>
        <v/>
      </c>
      <c r="D81" s="19" t="n">
        <v>513</v>
      </c>
      <c r="E81" s="18" t="n">
        <v>72.07809695</v>
      </c>
      <c r="F81" s="20" t="n">
        <v>2.44498693</v>
      </c>
      <c r="G81" s="18" t="n">
        <v>22.66898625</v>
      </c>
      <c r="H81" s="20" t="n">
        <v>2.27008055</v>
      </c>
      <c r="I81" s="18" t="s">
        <v>349</v>
      </c>
      <c r="J81" s="20" t="s">
        <v>349</v>
      </c>
      <c r="K81" s="18" t="n">
        <v>1.78433873</v>
      </c>
      <c r="L81" s="20" t="n">
        <v>0.99710517</v>
      </c>
      <c r="M81" s="18" t="n">
        <v>0.64285744</v>
      </c>
      <c r="N81" s="20" t="n">
        <v>0.43514124</v>
      </c>
      <c r="O81" s="18" t="n">
        <v>0</v>
      </c>
      <c r="P81" s="20" t="n">
        <v>0</v>
      </c>
      <c r="Q81" s="18" t="n">
        <v>2.82572062</v>
      </c>
      <c r="R81" s="20" t="n">
        <v>0.98296389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(6499.0/B7*100)</f>
        <v/>
      </c>
      <c r="D7" s="19" t="n">
        <v>868</v>
      </c>
      <c r="E7" s="18" t="n">
        <v>47.27190766</v>
      </c>
      <c r="F7" s="20" t="n">
        <v>2.31916921</v>
      </c>
      <c r="G7" s="18" t="n">
        <v>44.94039602</v>
      </c>
      <c r="H7" s="20" t="n">
        <v>2.43235013</v>
      </c>
      <c r="I7" s="18" t="s">
        <v>349</v>
      </c>
      <c r="J7" s="20" t="s">
        <v>349</v>
      </c>
      <c r="K7" s="18" t="n">
        <v>6.05886848</v>
      </c>
      <c r="L7" s="20" t="n">
        <v>0.97948908</v>
      </c>
      <c r="M7" s="18" t="n">
        <v>0</v>
      </c>
      <c r="N7" s="20" t="n">
        <v>0</v>
      </c>
      <c r="O7" s="18" t="n">
        <v>0</v>
      </c>
      <c r="P7" s="20" t="n">
        <v>0</v>
      </c>
      <c r="Q7" s="18" t="n">
        <v>1.72882784</v>
      </c>
      <c r="R7" s="20" t="n">
        <v>0.59966059</v>
      </c>
    </row>
    <row r="8" spans="1:18">
      <c r="A8" s="15" t="s">
        <v>350</v>
      </c>
      <c r="B8" s="17" t="n">
        <v>3564</v>
      </c>
      <c r="C8" s="18">
        <f>(3160.0/B8*100)</f>
        <v/>
      </c>
      <c r="D8" s="19" t="n">
        <v>404</v>
      </c>
      <c r="E8" s="18" t="n">
        <v>32.47043689</v>
      </c>
      <c r="F8" s="20" t="n">
        <v>3.06102465</v>
      </c>
      <c r="G8" s="18" t="n">
        <v>56.97609401</v>
      </c>
      <c r="H8" s="20" t="n">
        <v>3.43072555</v>
      </c>
      <c r="I8" s="18" t="s">
        <v>349</v>
      </c>
      <c r="J8" s="20" t="s">
        <v>349</v>
      </c>
      <c r="K8" s="18" t="n">
        <v>8.56471168</v>
      </c>
      <c r="L8" s="20" t="n">
        <v>1.95402382</v>
      </c>
      <c r="M8" s="18" t="n">
        <v>0</v>
      </c>
      <c r="N8" s="20" t="n">
        <v>0</v>
      </c>
      <c r="O8" s="18" t="n">
        <v>0</v>
      </c>
      <c r="P8" s="20" t="n">
        <v>0</v>
      </c>
      <c r="Q8" s="18" t="n">
        <v>1.98875742</v>
      </c>
      <c r="R8" s="20" t="n">
        <v>0.81805357</v>
      </c>
    </row>
    <row r="9" spans="1:18">
      <c r="A9" s="15" t="s">
        <v>351</v>
      </c>
      <c r="B9" s="17" t="n">
        <v>4899</v>
      </c>
      <c r="C9" s="18">
        <f>(4325.0/B9*100)</f>
        <v/>
      </c>
      <c r="D9" s="19" t="n">
        <v>574</v>
      </c>
      <c r="E9" s="18" t="n">
        <v>29.33831138</v>
      </c>
      <c r="F9" s="20" t="n">
        <v>2.06706069</v>
      </c>
      <c r="G9" s="18" t="n">
        <v>61.97265112</v>
      </c>
      <c r="H9" s="20" t="n">
        <v>2.23090187</v>
      </c>
      <c r="I9" s="18" t="s">
        <v>349</v>
      </c>
      <c r="J9" s="20" t="s">
        <v>349</v>
      </c>
      <c r="K9" s="18" t="n">
        <v>6.13869705</v>
      </c>
      <c r="L9" s="20" t="n">
        <v>1.02926433</v>
      </c>
      <c r="M9" s="18" t="n">
        <v>0</v>
      </c>
      <c r="N9" s="20" t="n">
        <v>0</v>
      </c>
      <c r="O9" s="18" t="n">
        <v>0</v>
      </c>
      <c r="P9" s="20" t="n">
        <v>0</v>
      </c>
      <c r="Q9" s="18" t="n">
        <v>2.55034045</v>
      </c>
      <c r="R9" s="20" t="n">
        <v>0.66711645</v>
      </c>
    </row>
    <row r="10" spans="1:18">
      <c r="A10" s="15" t="s">
        <v>352</v>
      </c>
      <c r="B10" s="17" t="n">
        <v>10036</v>
      </c>
      <c r="C10" s="18">
        <f>(8819.0/B10*100)</f>
        <v/>
      </c>
      <c r="D10" s="19" t="n">
        <v>1217</v>
      </c>
      <c r="E10" s="18" t="n">
        <v>35.7381712</v>
      </c>
      <c r="F10" s="20" t="n">
        <v>1.7895192</v>
      </c>
      <c r="G10" s="18" t="n">
        <v>59.13512286</v>
      </c>
      <c r="H10" s="20" t="n">
        <v>1.9949105</v>
      </c>
      <c r="I10" s="18" t="s">
        <v>349</v>
      </c>
      <c r="J10" s="20" t="s">
        <v>349</v>
      </c>
      <c r="K10" s="18" t="n">
        <v>4.4168922</v>
      </c>
      <c r="L10" s="20" t="n">
        <v>0.79506314</v>
      </c>
      <c r="M10" s="18" t="n">
        <v>0</v>
      </c>
      <c r="N10" s="20" t="n">
        <v>0</v>
      </c>
      <c r="O10" s="18" t="n">
        <v>0</v>
      </c>
      <c r="P10" s="20" t="n">
        <v>0</v>
      </c>
      <c r="Q10" s="18" t="n">
        <v>0.70981373</v>
      </c>
      <c r="R10" s="20" t="n">
        <v>0.32496007</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(3067.0/B12*100)</f>
        <v/>
      </c>
      <c r="D12" s="19" t="n">
        <v>405</v>
      </c>
      <c r="E12" s="18" t="n">
        <v>43.56765889</v>
      </c>
      <c r="F12" s="20" t="n">
        <v>2.90011612</v>
      </c>
      <c r="G12" s="18" t="n">
        <v>47.17237684</v>
      </c>
      <c r="H12" s="20" t="n">
        <v>2.81126641</v>
      </c>
      <c r="I12" s="18" t="s">
        <v>349</v>
      </c>
      <c r="J12" s="20" t="s">
        <v>349</v>
      </c>
      <c r="K12" s="18" t="n">
        <v>7.20815616</v>
      </c>
      <c r="L12" s="20" t="n">
        <v>1.29196939</v>
      </c>
      <c r="M12" s="18" t="n">
        <v>0</v>
      </c>
      <c r="N12" s="20" t="n">
        <v>0</v>
      </c>
      <c r="O12" s="18" t="n">
        <v>0</v>
      </c>
      <c r="P12" s="20" t="n">
        <v>0</v>
      </c>
      <c r="Q12" s="18" t="n">
        <v>2.05180811</v>
      </c>
      <c r="R12" s="20" t="n">
        <v>0.88565002</v>
      </c>
    </row>
    <row r="13" spans="1:18">
      <c r="A13" s="15" t="s">
        <v>355</v>
      </c>
      <c r="B13" s="17" t="n">
        <v>3559</v>
      </c>
      <c r="C13" s="18">
        <f>(3144.0/B13*100)</f>
        <v/>
      </c>
      <c r="D13" s="19" t="n">
        <v>415</v>
      </c>
      <c r="E13" s="18" t="n">
        <v>32.19440835</v>
      </c>
      <c r="F13" s="20" t="n">
        <v>2.61887502</v>
      </c>
      <c r="G13" s="18" t="n">
        <v>61.73557072</v>
      </c>
      <c r="H13" s="20" t="n">
        <v>2.94521041</v>
      </c>
      <c r="I13" s="18" t="s">
        <v>349</v>
      </c>
      <c r="J13" s="20" t="s">
        <v>349</v>
      </c>
      <c r="K13" s="18" t="n">
        <v>5.3896957</v>
      </c>
      <c r="L13" s="20" t="n">
        <v>1.23577759</v>
      </c>
      <c r="M13" s="18" t="n">
        <v>0</v>
      </c>
      <c r="N13" s="20" t="n">
        <v>0</v>
      </c>
      <c r="O13" s="18" t="n">
        <v>0</v>
      </c>
      <c r="P13" s="20" t="n">
        <v>0</v>
      </c>
      <c r="Q13" s="18" t="n">
        <v>0.68032522</v>
      </c>
      <c r="R13" s="20" t="n">
        <v>0.31447535</v>
      </c>
    </row>
    <row r="14" spans="1:18">
      <c r="A14" s="15" t="s">
        <v>356</v>
      </c>
      <c r="B14" s="17" t="n">
        <v>2799</v>
      </c>
      <c r="C14" s="18">
        <f>(2422.0/B14*100)</f>
        <v/>
      </c>
      <c r="D14" s="19" t="n">
        <v>377</v>
      </c>
      <c r="E14" s="18" t="n">
        <v>30.92100657</v>
      </c>
      <c r="F14" s="20" t="n">
        <v>2.72628694</v>
      </c>
      <c r="G14" s="18" t="n">
        <v>61.31634427</v>
      </c>
      <c r="H14" s="20" t="n">
        <v>2.92064491</v>
      </c>
      <c r="I14" s="18" t="s">
        <v>349</v>
      </c>
      <c r="J14" s="20" t="s">
        <v>349</v>
      </c>
      <c r="K14" s="18" t="n">
        <v>5.5537649</v>
      </c>
      <c r="L14" s="20" t="n">
        <v>1.24456736</v>
      </c>
      <c r="M14" s="18" t="n">
        <v>0</v>
      </c>
      <c r="N14" s="20" t="n">
        <v>0</v>
      </c>
      <c r="O14" s="18" t="n">
        <v>0</v>
      </c>
      <c r="P14" s="20" t="n">
        <v>0</v>
      </c>
      <c r="Q14" s="18" t="n">
        <v>2.20888425</v>
      </c>
      <c r="R14" s="20" t="n">
        <v>0.92341728</v>
      </c>
    </row>
    <row r="15" spans="1:18">
      <c r="A15" s="15" t="s">
        <v>357</v>
      </c>
      <c r="B15" s="17" t="n">
        <v>3019</v>
      </c>
      <c r="C15" s="18">
        <f>(2647.0/B15*100)</f>
        <v/>
      </c>
      <c r="D15" s="19" t="n">
        <v>372</v>
      </c>
      <c r="E15" s="18" t="n">
        <v>45.78294696</v>
      </c>
      <c r="F15" s="20" t="n">
        <v>2.66639876</v>
      </c>
      <c r="G15" s="18" t="n">
        <v>45.82565639</v>
      </c>
      <c r="H15" s="20" t="n">
        <v>2.62757358</v>
      </c>
      <c r="I15" s="18" t="s">
        <v>349</v>
      </c>
      <c r="J15" s="20" t="s">
        <v>349</v>
      </c>
      <c r="K15" s="18" t="n">
        <v>7.18012747</v>
      </c>
      <c r="L15" s="20" t="n">
        <v>1.29236357</v>
      </c>
      <c r="M15" s="18" t="n">
        <v>0</v>
      </c>
      <c r="N15" s="20" t="n">
        <v>0</v>
      </c>
      <c r="O15" s="18" t="n">
        <v>0</v>
      </c>
      <c r="P15" s="20" t="n">
        <v>0</v>
      </c>
      <c r="Q15" s="18" t="n">
        <v>1.21126917</v>
      </c>
      <c r="R15" s="20" t="n">
        <v>0.6992402</v>
      </c>
    </row>
    <row r="16" spans="1:18">
      <c r="A16" s="15" t="s">
        <v>358</v>
      </c>
      <c r="B16" s="17" t="n">
        <v>2997</v>
      </c>
      <c r="C16" s="18">
        <f>(2617.0/B16*100)</f>
        <v/>
      </c>
      <c r="D16" s="19" t="n">
        <v>380</v>
      </c>
      <c r="E16" s="18" t="n">
        <v>35.60552782</v>
      </c>
      <c r="F16" s="20" t="n">
        <v>2.41437164</v>
      </c>
      <c r="G16" s="18" t="n">
        <v>46.32404859</v>
      </c>
      <c r="H16" s="20" t="n">
        <v>2.40760263</v>
      </c>
      <c r="I16" s="18" t="s">
        <v>349</v>
      </c>
      <c r="J16" s="20" t="s">
        <v>349</v>
      </c>
      <c r="K16" s="18" t="n">
        <v>16.57452833</v>
      </c>
      <c r="L16" s="20" t="n">
        <v>1.56138018</v>
      </c>
      <c r="M16" s="18" t="n">
        <v>0</v>
      </c>
      <c r="N16" s="20" t="n">
        <v>0</v>
      </c>
      <c r="O16" s="18" t="n">
        <v>0</v>
      </c>
      <c r="P16" s="20" t="n">
        <v>0</v>
      </c>
      <c r="Q16" s="18" t="n">
        <v>1.49589526</v>
      </c>
      <c r="R16" s="20" t="n">
        <v>0.57727901</v>
      </c>
    </row>
    <row r="17" spans="1:18">
      <c r="A17" s="15" t="s">
        <v>359</v>
      </c>
      <c r="B17" s="17" t="n">
        <v>3307</v>
      </c>
      <c r="C17" s="18">
        <f>(2916.0/B17*100)</f>
        <v/>
      </c>
      <c r="D17" s="19" t="n">
        <v>391</v>
      </c>
      <c r="E17" s="18" t="n">
        <v>29.10774581</v>
      </c>
      <c r="F17" s="20" t="n">
        <v>2.30028628</v>
      </c>
      <c r="G17" s="18" t="n">
        <v>60.27178696</v>
      </c>
      <c r="H17" s="20" t="n">
        <v>2.44722157</v>
      </c>
      <c r="I17" s="18" t="s">
        <v>349</v>
      </c>
      <c r="J17" s="20" t="s">
        <v>349</v>
      </c>
      <c r="K17" s="18" t="n">
        <v>8.09245035</v>
      </c>
      <c r="L17" s="20" t="n">
        <v>1.28233479</v>
      </c>
      <c r="M17" s="18" t="n">
        <v>0</v>
      </c>
      <c r="N17" s="20" t="n">
        <v>0</v>
      </c>
      <c r="O17" s="18" t="n">
        <v>0</v>
      </c>
      <c r="P17" s="20" t="n">
        <v>0</v>
      </c>
      <c r="Q17" s="18" t="n">
        <v>2.52801688</v>
      </c>
      <c r="R17" s="20" t="n">
        <v>0.84958762</v>
      </c>
    </row>
    <row r="18" spans="1:18">
      <c r="A18" s="15" t="s">
        <v>360</v>
      </c>
      <c r="B18" s="17" t="n">
        <v>2826</v>
      </c>
      <c r="C18" s="18">
        <f>(2455.0/B18*100)</f>
        <v/>
      </c>
      <c r="D18" s="19" t="n">
        <v>371</v>
      </c>
      <c r="E18" s="18" t="n">
        <v>56.91182701</v>
      </c>
      <c r="F18" s="20" t="n">
        <v>2.8139754</v>
      </c>
      <c r="G18" s="18" t="n">
        <v>31.33531989</v>
      </c>
      <c r="H18" s="20" t="n">
        <v>2.56546645</v>
      </c>
      <c r="I18" s="18" t="s">
        <v>349</v>
      </c>
      <c r="J18" s="20" t="s">
        <v>349</v>
      </c>
      <c r="K18" s="18" t="n">
        <v>9.50819252</v>
      </c>
      <c r="L18" s="20" t="n">
        <v>1.7073106</v>
      </c>
      <c r="M18" s="18" t="n">
        <v>0</v>
      </c>
      <c r="N18" s="20" t="n">
        <v>0</v>
      </c>
      <c r="O18" s="18" t="n">
        <v>0</v>
      </c>
      <c r="P18" s="20" t="n">
        <v>0</v>
      </c>
      <c r="Q18" s="18" t="n">
        <v>2.24466058</v>
      </c>
      <c r="R18" s="20" t="n">
        <v>0.88817952</v>
      </c>
    </row>
    <row r="19" spans="1:18">
      <c r="A19" s="15" t="s">
        <v>361</v>
      </c>
      <c r="B19" s="17" t="n">
        <v>2808</v>
      </c>
      <c r="C19" s="18">
        <f>(2484.0/B19*100)</f>
        <v/>
      </c>
      <c r="D19" s="19" t="n">
        <v>324</v>
      </c>
      <c r="E19" s="18" t="n">
        <v>45.6469028</v>
      </c>
      <c r="F19" s="20" t="n">
        <v>2.9053293</v>
      </c>
      <c r="G19" s="18" t="n">
        <v>42.8778473</v>
      </c>
      <c r="H19" s="20" t="n">
        <v>2.56644961</v>
      </c>
      <c r="I19" s="18" t="s">
        <v>349</v>
      </c>
      <c r="J19" s="20" t="s">
        <v>349</v>
      </c>
      <c r="K19" s="18" t="n">
        <v>6.7619326</v>
      </c>
      <c r="L19" s="20" t="n">
        <v>1.34637793</v>
      </c>
      <c r="M19" s="18" t="n">
        <v>0</v>
      </c>
      <c r="N19" s="20" t="n">
        <v>0</v>
      </c>
      <c r="O19" s="18" t="n">
        <v>0</v>
      </c>
      <c r="P19" s="20" t="n">
        <v>0</v>
      </c>
      <c r="Q19" s="18" t="n">
        <v>4.7133173</v>
      </c>
      <c r="R19" s="20" t="n">
        <v>1.59466682</v>
      </c>
    </row>
    <row r="20" spans="1:18">
      <c r="A20" s="15" t="s">
        <v>362</v>
      </c>
      <c r="B20" s="17" t="n">
        <v>1630</v>
      </c>
      <c r="C20" s="18">
        <f>(1430.0/B20*100)</f>
        <v/>
      </c>
      <c r="D20" s="19" t="n">
        <v>200</v>
      </c>
      <c r="E20" s="18" t="n">
        <v>42.45012959</v>
      </c>
      <c r="F20" s="20" t="n">
        <v>3.4200833</v>
      </c>
      <c r="G20" s="18" t="n">
        <v>45.0147081</v>
      </c>
      <c r="H20" s="20" t="n">
        <v>3.75950843</v>
      </c>
      <c r="I20" s="18" t="s">
        <v>349</v>
      </c>
      <c r="J20" s="20" t="s">
        <v>349</v>
      </c>
      <c r="K20" s="18" t="n">
        <v>11.16704964</v>
      </c>
      <c r="L20" s="20" t="n">
        <v>2.25174253</v>
      </c>
      <c r="M20" s="18" t="n">
        <v>0</v>
      </c>
      <c r="N20" s="20" t="n">
        <v>0</v>
      </c>
      <c r="O20" s="18" t="n">
        <v>0</v>
      </c>
      <c r="P20" s="20" t="n">
        <v>0</v>
      </c>
      <c r="Q20" s="18" t="n">
        <v>1.36811267</v>
      </c>
      <c r="R20" s="20" t="n">
        <v>0.7803758200000001</v>
      </c>
    </row>
    <row r="21" spans="1:18">
      <c r="A21" s="15" t="s">
        <v>363</v>
      </c>
      <c r="B21" s="17" t="n">
        <v>2908</v>
      </c>
      <c r="C21" s="18">
        <f>(2422.0/B21*100)</f>
        <v/>
      </c>
      <c r="D21" s="19" t="n">
        <v>486</v>
      </c>
      <c r="E21" s="18" t="n">
        <v>33.11120792</v>
      </c>
      <c r="F21" s="20" t="n">
        <v>2.26873216</v>
      </c>
      <c r="G21" s="18" t="n">
        <v>59.36471861</v>
      </c>
      <c r="H21" s="20" t="n">
        <v>2.61598165</v>
      </c>
      <c r="I21" s="18" t="s">
        <v>349</v>
      </c>
      <c r="J21" s="20" t="s">
        <v>349</v>
      </c>
      <c r="K21" s="18" t="n">
        <v>5.94795073</v>
      </c>
      <c r="L21" s="20" t="n">
        <v>1.09798948</v>
      </c>
      <c r="M21" s="18" t="n">
        <v>0</v>
      </c>
      <c r="N21" s="20" t="n">
        <v>0</v>
      </c>
      <c r="O21" s="18" t="n">
        <v>0</v>
      </c>
      <c r="P21" s="20" t="n">
        <v>0</v>
      </c>
      <c r="Q21" s="18" t="n">
        <v>1.57612275</v>
      </c>
      <c r="R21" s="20" t="n">
        <v>0.58379191</v>
      </c>
    </row>
    <row r="22" spans="1:18">
      <c r="A22" s="15" t="s">
        <v>364</v>
      </c>
      <c r="B22" s="17" t="n">
        <v>2931</v>
      </c>
      <c r="C22" s="18">
        <f>(2576.0/B22*100)</f>
        <v/>
      </c>
      <c r="D22" s="19" t="n">
        <v>355</v>
      </c>
      <c r="E22" s="18" t="n">
        <v>43.63285828</v>
      </c>
      <c r="F22" s="20" t="n">
        <v>2.91934694</v>
      </c>
      <c r="G22" s="18" t="n">
        <v>42.71258279</v>
      </c>
      <c r="H22" s="20" t="n">
        <v>2.76106938</v>
      </c>
      <c r="I22" s="18" t="s">
        <v>349</v>
      </c>
      <c r="J22" s="20" t="s">
        <v>349</v>
      </c>
      <c r="K22" s="18" t="n">
        <v>11.82830325</v>
      </c>
      <c r="L22" s="20" t="n">
        <v>2.0352426</v>
      </c>
      <c r="M22" s="18" t="n">
        <v>0</v>
      </c>
      <c r="N22" s="20" t="n">
        <v>0</v>
      </c>
      <c r="O22" s="18" t="n">
        <v>0</v>
      </c>
      <c r="P22" s="20" t="n">
        <v>0</v>
      </c>
      <c r="Q22" s="18" t="n">
        <v>1.82625568</v>
      </c>
      <c r="R22" s="20" t="n">
        <v>0.74352566</v>
      </c>
    </row>
    <row r="23" spans="1:18">
      <c r="A23" s="15" t="s">
        <v>365</v>
      </c>
      <c r="B23" s="17" t="n">
        <v>5791</v>
      </c>
      <c r="C23" s="18">
        <f>(5100.0/B23*100)</f>
        <v/>
      </c>
      <c r="D23" s="19" t="n">
        <v>691</v>
      </c>
      <c r="E23" s="18" t="n">
        <v>39.07658989</v>
      </c>
      <c r="F23" s="20" t="n">
        <v>2.56169508</v>
      </c>
      <c r="G23" s="18" t="n">
        <v>47.05064693</v>
      </c>
      <c r="H23" s="20" t="n">
        <v>2.48089831</v>
      </c>
      <c r="I23" s="18" t="s">
        <v>349</v>
      </c>
      <c r="J23" s="20" t="s">
        <v>349</v>
      </c>
      <c r="K23" s="18" t="n">
        <v>12.45383314</v>
      </c>
      <c r="L23" s="20" t="n">
        <v>1.70018484</v>
      </c>
      <c r="M23" s="18" t="n">
        <v>0</v>
      </c>
      <c r="N23" s="20" t="n">
        <v>0</v>
      </c>
      <c r="O23" s="18" t="n">
        <v>0</v>
      </c>
      <c r="P23" s="20" t="n">
        <v>0</v>
      </c>
      <c r="Q23" s="18" t="n">
        <v>1.41893004</v>
      </c>
      <c r="R23" s="20" t="n">
        <v>0.63997856</v>
      </c>
    </row>
    <row r="24" spans="1:18">
      <c r="A24" s="15" t="s">
        <v>366</v>
      </c>
      <c r="B24" s="17" t="n">
        <v>3338</v>
      </c>
      <c r="C24" s="18">
        <f>(2921.0/B24*100)</f>
        <v/>
      </c>
      <c r="D24" s="19" t="n">
        <v>417</v>
      </c>
      <c r="E24" s="18" t="n">
        <v>32.5602344</v>
      </c>
      <c r="F24" s="20" t="n">
        <v>2.52631941</v>
      </c>
      <c r="G24" s="18" t="n">
        <v>61.22446217</v>
      </c>
      <c r="H24" s="20" t="n">
        <v>2.40443855</v>
      </c>
      <c r="I24" s="18" t="s">
        <v>349</v>
      </c>
      <c r="J24" s="20" t="s">
        <v>349</v>
      </c>
      <c r="K24" s="18" t="n">
        <v>5.70701194</v>
      </c>
      <c r="L24" s="20" t="n">
        <v>1.25768872</v>
      </c>
      <c r="M24" s="18" t="n">
        <v>0</v>
      </c>
      <c r="N24" s="20" t="n">
        <v>0</v>
      </c>
      <c r="O24" s="18" t="n">
        <v>0</v>
      </c>
      <c r="P24" s="20" t="n">
        <v>0</v>
      </c>
      <c r="Q24" s="18" t="n">
        <v>0.50829149</v>
      </c>
      <c r="R24" s="20" t="n">
        <v>0.36564557</v>
      </c>
    </row>
    <row r="25" spans="1:18">
      <c r="A25" s="15" t="s">
        <v>367</v>
      </c>
      <c r="B25" s="17" t="n">
        <v>2912</v>
      </c>
      <c r="C25" s="18">
        <f>(2542.0/B25*100)</f>
        <v/>
      </c>
      <c r="D25" s="19" t="n">
        <v>370</v>
      </c>
      <c r="E25" s="18" t="n">
        <v>46.12328916</v>
      </c>
      <c r="F25" s="20" t="n">
        <v>2.64843682</v>
      </c>
      <c r="G25" s="18" t="n">
        <v>47.34245197</v>
      </c>
      <c r="H25" s="20" t="n">
        <v>2.7228559</v>
      </c>
      <c r="I25" s="18" t="s">
        <v>349</v>
      </c>
      <c r="J25" s="20" t="s">
        <v>349</v>
      </c>
      <c r="K25" s="18" t="n">
        <v>5.39438538</v>
      </c>
      <c r="L25" s="20" t="n">
        <v>1.22049935</v>
      </c>
      <c r="M25" s="18" t="n">
        <v>0</v>
      </c>
      <c r="N25" s="20" t="n">
        <v>0</v>
      </c>
      <c r="O25" s="18" t="n">
        <v>0</v>
      </c>
      <c r="P25" s="20" t="n">
        <v>0</v>
      </c>
      <c r="Q25" s="18" t="n">
        <v>1.13987349</v>
      </c>
      <c r="R25" s="20" t="n">
        <v>0.56961819</v>
      </c>
    </row>
    <row r="26" spans="1:18">
      <c r="A26" s="15" t="s">
        <v>368</v>
      </c>
      <c r="B26" s="17" t="n">
        <v>2450</v>
      </c>
      <c r="C26" s="18">
        <f>(2163.0/B26*100)</f>
        <v/>
      </c>
      <c r="D26" s="19" t="n">
        <v>287</v>
      </c>
      <c r="E26" s="18" t="n">
        <v>58.32679841</v>
      </c>
      <c r="F26" s="20" t="n">
        <v>3.19075076</v>
      </c>
      <c r="G26" s="18" t="n">
        <v>32.14841372</v>
      </c>
      <c r="H26" s="20" t="n">
        <v>2.92781245</v>
      </c>
      <c r="I26" s="18" t="s">
        <v>349</v>
      </c>
      <c r="J26" s="20" t="s">
        <v>349</v>
      </c>
      <c r="K26" s="18" t="n">
        <v>7.75227419</v>
      </c>
      <c r="L26" s="20" t="n">
        <v>1.60994068</v>
      </c>
      <c r="M26" s="18" t="n">
        <v>0</v>
      </c>
      <c r="N26" s="20" t="n">
        <v>0</v>
      </c>
      <c r="O26" s="18" t="n">
        <v>0</v>
      </c>
      <c r="P26" s="20" t="n">
        <v>0</v>
      </c>
      <c r="Q26" s="18" t="n">
        <v>1.77251368</v>
      </c>
      <c r="R26" s="20" t="n">
        <v>0.7975012299999999</v>
      </c>
    </row>
    <row r="27" spans="1:18">
      <c r="A27" s="15" t="s">
        <v>369</v>
      </c>
      <c r="B27" s="17" t="n">
        <v>2616</v>
      </c>
      <c r="C27" s="18">
        <f>(2296.0/B27*100)</f>
        <v/>
      </c>
      <c r="D27" s="19" t="n">
        <v>320</v>
      </c>
      <c r="E27" s="18" t="n">
        <v>44.33492094</v>
      </c>
      <c r="F27" s="20" t="n">
        <v>2.65506114</v>
      </c>
      <c r="G27" s="18" t="n">
        <v>42.10797892</v>
      </c>
      <c r="H27" s="20" t="n">
        <v>2.46935019</v>
      </c>
      <c r="I27" s="18" t="s">
        <v>349</v>
      </c>
      <c r="J27" s="20" t="s">
        <v>349</v>
      </c>
      <c r="K27" s="18" t="n">
        <v>11.07847462</v>
      </c>
      <c r="L27" s="20" t="n">
        <v>1.84768435</v>
      </c>
      <c r="M27" s="18" t="n">
        <v>0</v>
      </c>
      <c r="N27" s="20" t="n">
        <v>0</v>
      </c>
      <c r="O27" s="18" t="n">
        <v>0</v>
      </c>
      <c r="P27" s="20" t="n">
        <v>0</v>
      </c>
      <c r="Q27" s="18" t="n">
        <v>2.47862552</v>
      </c>
      <c r="R27" s="20" t="n">
        <v>0.8729808100000001</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(2346.0/B29*100)</f>
        <v/>
      </c>
      <c r="D29" s="19" t="n">
        <v>339</v>
      </c>
      <c r="E29" s="18" t="n">
        <v>32.25373106</v>
      </c>
      <c r="F29" s="20" t="n">
        <v>3.08285531</v>
      </c>
      <c r="G29" s="18" t="n">
        <v>62.5573907</v>
      </c>
      <c r="H29" s="20" t="n">
        <v>3.19379575</v>
      </c>
      <c r="I29" s="18" t="s">
        <v>349</v>
      </c>
      <c r="J29" s="20" t="s">
        <v>349</v>
      </c>
      <c r="K29" s="18" t="n">
        <v>4.36340967</v>
      </c>
      <c r="L29" s="20" t="n">
        <v>1.1730384</v>
      </c>
      <c r="M29" s="18" t="n">
        <v>0</v>
      </c>
      <c r="N29" s="20" t="n">
        <v>0</v>
      </c>
      <c r="O29" s="18" t="n">
        <v>0</v>
      </c>
      <c r="P29" s="20" t="n">
        <v>0</v>
      </c>
      <c r="Q29" s="18" t="n">
        <v>0.82546858</v>
      </c>
      <c r="R29" s="20" t="n">
        <v>0.45516516</v>
      </c>
    </row>
    <row r="30" spans="1:18">
      <c r="A30" s="15" t="s">
        <v>372</v>
      </c>
      <c r="B30" s="17" t="n">
        <v>2263</v>
      </c>
      <c r="C30" s="18">
        <f>(2013.0/B30*100)</f>
        <v/>
      </c>
      <c r="D30" s="19" t="n">
        <v>250</v>
      </c>
      <c r="E30" s="18" t="n">
        <v>37.32292237</v>
      </c>
      <c r="F30" s="20" t="n">
        <v>3.45632155</v>
      </c>
      <c r="G30" s="18" t="n">
        <v>52.31141138</v>
      </c>
      <c r="H30" s="20" t="n">
        <v>3.8708663</v>
      </c>
      <c r="I30" s="18" t="s">
        <v>349</v>
      </c>
      <c r="J30" s="20" t="s">
        <v>349</v>
      </c>
      <c r="K30" s="18" t="n">
        <v>9.221800480000001</v>
      </c>
      <c r="L30" s="20" t="n">
        <v>2.05606276</v>
      </c>
      <c r="M30" s="18" t="n">
        <v>0</v>
      </c>
      <c r="N30" s="20" t="n">
        <v>0</v>
      </c>
      <c r="O30" s="18" t="n">
        <v>0</v>
      </c>
      <c r="P30" s="20" t="n">
        <v>0</v>
      </c>
      <c r="Q30" s="18" t="n">
        <v>1.14386578</v>
      </c>
      <c r="R30" s="20" t="n">
        <v>0.81510505</v>
      </c>
    </row>
    <row r="31" spans="1:18">
      <c r="A31" s="15" t="s">
        <v>373</v>
      </c>
      <c r="B31" s="17" t="n">
        <v>2750</v>
      </c>
      <c r="C31" s="18">
        <f>(2403.0/B31*100)</f>
        <v/>
      </c>
      <c r="D31" s="19" t="n">
        <v>347</v>
      </c>
      <c r="E31" s="18" t="n">
        <v>46.17726548</v>
      </c>
      <c r="F31" s="20" t="n">
        <v>2.98432141</v>
      </c>
      <c r="G31" s="18" t="n">
        <v>42.45922744</v>
      </c>
      <c r="H31" s="20" t="n">
        <v>2.88698513</v>
      </c>
      <c r="I31" s="18" t="s">
        <v>349</v>
      </c>
      <c r="J31" s="20" t="s">
        <v>349</v>
      </c>
      <c r="K31" s="18" t="n">
        <v>9.74867746</v>
      </c>
      <c r="L31" s="20" t="n">
        <v>1.53965815</v>
      </c>
      <c r="M31" s="18" t="n">
        <v>0</v>
      </c>
      <c r="N31" s="20" t="n">
        <v>0</v>
      </c>
      <c r="O31" s="18" t="n">
        <v>0</v>
      </c>
      <c r="P31" s="20" t="n">
        <v>0</v>
      </c>
      <c r="Q31" s="18" t="n">
        <v>1.61482962</v>
      </c>
      <c r="R31" s="20" t="n">
        <v>0.66297574</v>
      </c>
    </row>
    <row r="32" spans="1:18">
      <c r="A32" s="15" t="s">
        <v>374</v>
      </c>
      <c r="B32" s="17" t="n">
        <v>2269</v>
      </c>
      <c r="C32" s="18">
        <f>(1900.0/B32*100)</f>
        <v/>
      </c>
      <c r="D32" s="19" t="n">
        <v>369</v>
      </c>
      <c r="E32" s="18" t="n">
        <v>38.56607624</v>
      </c>
      <c r="F32" s="20" t="n">
        <v>2.60497746</v>
      </c>
      <c r="G32" s="18" t="n">
        <v>53.92157353</v>
      </c>
      <c r="H32" s="20" t="n">
        <v>2.62479572</v>
      </c>
      <c r="I32" s="18" t="s">
        <v>349</v>
      </c>
      <c r="J32" s="20" t="s">
        <v>349</v>
      </c>
      <c r="K32" s="18" t="n">
        <v>5.44451637</v>
      </c>
      <c r="L32" s="20" t="n">
        <v>1.18456002</v>
      </c>
      <c r="M32" s="18" t="n">
        <v>0</v>
      </c>
      <c r="N32" s="20" t="n">
        <v>0</v>
      </c>
      <c r="O32" s="18" t="n">
        <v>0</v>
      </c>
      <c r="P32" s="20" t="n">
        <v>0</v>
      </c>
      <c r="Q32" s="18" t="n">
        <v>2.06783385</v>
      </c>
      <c r="R32" s="20" t="n">
        <v>0.71006083</v>
      </c>
    </row>
    <row r="33" spans="1:18">
      <c r="A33" s="15" t="s">
        <v>375</v>
      </c>
      <c r="B33" s="17" t="n">
        <v>3674</v>
      </c>
      <c r="C33" s="18">
        <f>(3253.0/B33*100)</f>
        <v/>
      </c>
      <c r="D33" s="19" t="n">
        <v>421</v>
      </c>
      <c r="E33" s="18" t="n">
        <v>44.45348449</v>
      </c>
      <c r="F33" s="20" t="n">
        <v>3.10658121</v>
      </c>
      <c r="G33" s="18" t="n">
        <v>44.57239677</v>
      </c>
      <c r="H33" s="20" t="n">
        <v>2.8865641</v>
      </c>
      <c r="I33" s="18" t="s">
        <v>349</v>
      </c>
      <c r="J33" s="20" t="s">
        <v>349</v>
      </c>
      <c r="K33" s="18" t="n">
        <v>8.07211672</v>
      </c>
      <c r="L33" s="20" t="n">
        <v>1.58121039</v>
      </c>
      <c r="M33" s="18" t="n">
        <v>0</v>
      </c>
      <c r="N33" s="20" t="n">
        <v>0</v>
      </c>
      <c r="O33" s="18" t="n">
        <v>0</v>
      </c>
      <c r="P33" s="20" t="n">
        <v>0</v>
      </c>
      <c r="Q33" s="18" t="n">
        <v>2.90200201</v>
      </c>
      <c r="R33" s="20" t="n">
        <v>0.99200812</v>
      </c>
    </row>
    <row r="34" spans="1:18">
      <c r="A34" s="15" t="s">
        <v>376</v>
      </c>
      <c r="B34" s="17" t="n">
        <v>3315</v>
      </c>
      <c r="C34" s="18">
        <f>(2946.0/B34*100)</f>
        <v/>
      </c>
      <c r="D34" s="19" t="n">
        <v>369</v>
      </c>
      <c r="E34" s="18" t="n">
        <v>46.48445286</v>
      </c>
      <c r="F34" s="20" t="n">
        <v>2.85879712</v>
      </c>
      <c r="G34" s="18" t="n">
        <v>43.86693018</v>
      </c>
      <c r="H34" s="20" t="n">
        <v>2.66503501</v>
      </c>
      <c r="I34" s="18" t="s">
        <v>349</v>
      </c>
      <c r="J34" s="20" t="s">
        <v>349</v>
      </c>
      <c r="K34" s="18" t="n">
        <v>7.90959838</v>
      </c>
      <c r="L34" s="20" t="n">
        <v>1.15942763</v>
      </c>
      <c r="M34" s="18" t="n">
        <v>0</v>
      </c>
      <c r="N34" s="20" t="n">
        <v>0</v>
      </c>
      <c r="O34" s="18" t="n">
        <v>0</v>
      </c>
      <c r="P34" s="20" t="n">
        <v>0</v>
      </c>
      <c r="Q34" s="18" t="n">
        <v>1.73901857</v>
      </c>
      <c r="R34" s="20" t="n">
        <v>0.58196105</v>
      </c>
    </row>
    <row r="35" spans="1:18">
      <c r="A35" s="15" t="s">
        <v>377</v>
      </c>
      <c r="B35" s="17" t="n">
        <v>3505</v>
      </c>
      <c r="C35" s="18">
        <f>(3078.0/B35*100)</f>
        <v/>
      </c>
      <c r="D35" s="19" t="n">
        <v>427</v>
      </c>
      <c r="E35" s="18" t="n">
        <v>40.49927945</v>
      </c>
      <c r="F35" s="20" t="n">
        <v>2.78350124</v>
      </c>
      <c r="G35" s="18" t="n">
        <v>50.37127904</v>
      </c>
      <c r="H35" s="20" t="n">
        <v>2.57794626</v>
      </c>
      <c r="I35" s="18" t="s">
        <v>349</v>
      </c>
      <c r="J35" s="20" t="s">
        <v>349</v>
      </c>
      <c r="K35" s="18" t="n">
        <v>7.5622319</v>
      </c>
      <c r="L35" s="20" t="n">
        <v>1.31388211</v>
      </c>
      <c r="M35" s="18" t="n">
        <v>0</v>
      </c>
      <c r="N35" s="20" t="n">
        <v>0</v>
      </c>
      <c r="O35" s="18" t="n">
        <v>0</v>
      </c>
      <c r="P35" s="20" t="n">
        <v>0</v>
      </c>
      <c r="Q35" s="18" t="n">
        <v>1.56720961</v>
      </c>
      <c r="R35" s="20" t="n">
        <v>0.67364874</v>
      </c>
    </row>
    <row r="36" spans="1:18">
      <c r="A36" s="15" t="s">
        <v>378</v>
      </c>
      <c r="B36" s="17" t="n">
        <v>3332</v>
      </c>
      <c r="C36" s="18">
        <f>(2932.0/B36*100)</f>
        <v/>
      </c>
      <c r="D36" s="19" t="n">
        <v>400</v>
      </c>
      <c r="E36" s="18" t="n">
        <v>38.0967819</v>
      </c>
      <c r="F36" s="20" t="n">
        <v>2.70738524</v>
      </c>
      <c r="G36" s="18" t="n">
        <v>52.32539848</v>
      </c>
      <c r="H36" s="20" t="n">
        <v>2.4946876</v>
      </c>
      <c r="I36" s="18" t="s">
        <v>349</v>
      </c>
      <c r="J36" s="20" t="s">
        <v>349</v>
      </c>
      <c r="K36" s="18" t="n">
        <v>7.80137108</v>
      </c>
      <c r="L36" s="20" t="n">
        <v>1.46973431</v>
      </c>
      <c r="M36" s="18" t="n">
        <v>0</v>
      </c>
      <c r="N36" s="20" t="n">
        <v>0</v>
      </c>
      <c r="O36" s="18" t="n">
        <v>0</v>
      </c>
      <c r="P36" s="20" t="n">
        <v>0</v>
      </c>
      <c r="Q36" s="18" t="n">
        <v>1.77644854</v>
      </c>
      <c r="R36" s="20" t="n">
        <v>0.65556657</v>
      </c>
    </row>
    <row r="37" spans="1:18">
      <c r="A37" s="15" t="s">
        <v>379</v>
      </c>
      <c r="B37" s="17" t="n">
        <v>2727</v>
      </c>
      <c r="C37" s="18">
        <f>(2414.0/B37*100)</f>
        <v/>
      </c>
      <c r="D37" s="19" t="n">
        <v>313</v>
      </c>
      <c r="E37" s="18" t="n">
        <v>38.97979458</v>
      </c>
      <c r="F37" s="20" t="n">
        <v>2.7126917</v>
      </c>
      <c r="G37" s="18" t="n">
        <v>38.33265498</v>
      </c>
      <c r="H37" s="20" t="n">
        <v>2.56909686</v>
      </c>
      <c r="I37" s="18" t="s">
        <v>349</v>
      </c>
      <c r="J37" s="20" t="s">
        <v>349</v>
      </c>
      <c r="K37" s="18" t="n">
        <v>19.85745174</v>
      </c>
      <c r="L37" s="20" t="n">
        <v>2.48126992</v>
      </c>
      <c r="M37" s="18" t="n">
        <v>0</v>
      </c>
      <c r="N37" s="20" t="n">
        <v>0</v>
      </c>
      <c r="O37" s="18" t="n">
        <v>0</v>
      </c>
      <c r="P37" s="20" t="n">
        <v>0</v>
      </c>
      <c r="Q37" s="18" t="n">
        <v>2.83009869</v>
      </c>
      <c r="R37" s="20" t="n">
        <v>0.95016809</v>
      </c>
    </row>
    <row r="38" spans="1:18">
      <c r="A38" s="15" t="s">
        <v>380</v>
      </c>
      <c r="B38" s="17" t="n">
        <v>3053</v>
      </c>
      <c r="C38" s="18">
        <f>(2554.0/B38*100)</f>
        <v/>
      </c>
      <c r="D38" s="19" t="n">
        <v>499</v>
      </c>
      <c r="E38" s="18" t="n">
        <v>31.15171643</v>
      </c>
      <c r="F38" s="20" t="n">
        <v>2.1413486</v>
      </c>
      <c r="G38" s="18" t="n">
        <v>56.48852927</v>
      </c>
      <c r="H38" s="20" t="n">
        <v>2.2740349</v>
      </c>
      <c r="I38" s="18" t="s">
        <v>349</v>
      </c>
      <c r="J38" s="20" t="s">
        <v>349</v>
      </c>
      <c r="K38" s="18" t="n">
        <v>10.07799219</v>
      </c>
      <c r="L38" s="20" t="n">
        <v>1.78907999</v>
      </c>
      <c r="M38" s="18" t="n">
        <v>0</v>
      </c>
      <c r="N38" s="20" t="n">
        <v>0</v>
      </c>
      <c r="O38" s="18" t="n">
        <v>0</v>
      </c>
      <c r="P38" s="20" t="n">
        <v>0</v>
      </c>
      <c r="Q38" s="18" t="n">
        <v>2.28176211</v>
      </c>
      <c r="R38" s="20" t="n">
        <v>0.73868676</v>
      </c>
    </row>
    <row r="39" spans="1:18">
      <c r="A39" s="15" t="s">
        <v>381</v>
      </c>
      <c r="B39" s="17" t="n">
        <v>2957</v>
      </c>
      <c r="C39" s="18">
        <f>(2581.0/B39*100)</f>
        <v/>
      </c>
      <c r="D39" s="19" t="n">
        <v>376</v>
      </c>
      <c r="E39" s="18" t="n">
        <v>75.42203972999999</v>
      </c>
      <c r="F39" s="20" t="n">
        <v>2.89292265</v>
      </c>
      <c r="G39" s="18" t="n">
        <v>15.9350876</v>
      </c>
      <c r="H39" s="20" t="n">
        <v>2.26277621</v>
      </c>
      <c r="I39" s="18" t="s">
        <v>349</v>
      </c>
      <c r="J39" s="20" t="s">
        <v>349</v>
      </c>
      <c r="K39" s="18" t="n">
        <v>5.64394072</v>
      </c>
      <c r="L39" s="20" t="n">
        <v>1.35131133</v>
      </c>
      <c r="M39" s="18" t="n">
        <v>0</v>
      </c>
      <c r="N39" s="20" t="n">
        <v>0</v>
      </c>
      <c r="O39" s="18" t="n">
        <v>0</v>
      </c>
      <c r="P39" s="20" t="n">
        <v>0</v>
      </c>
      <c r="Q39" s="18" t="n">
        <v>2.99893195</v>
      </c>
      <c r="R39" s="20" t="n">
        <v>0.99816826</v>
      </c>
    </row>
    <row r="40" spans="1:18">
      <c r="A40" s="15" t="s">
        <v>382</v>
      </c>
      <c r="B40" s="17" t="n">
        <v>7235</v>
      </c>
      <c r="C40" s="18">
        <f>(6371.0/B40*100)</f>
        <v/>
      </c>
      <c r="D40" s="19" t="n">
        <v>864</v>
      </c>
      <c r="E40" s="18" t="n">
        <v>38.60438981</v>
      </c>
      <c r="F40" s="20" t="n">
        <v>2.25917645</v>
      </c>
      <c r="G40" s="18" t="n">
        <v>51.98586753</v>
      </c>
      <c r="H40" s="20" t="n">
        <v>2.42555349</v>
      </c>
      <c r="I40" s="18" t="s">
        <v>349</v>
      </c>
      <c r="J40" s="20" t="s">
        <v>349</v>
      </c>
      <c r="K40" s="18" t="n">
        <v>6.87409516</v>
      </c>
      <c r="L40" s="20" t="n">
        <v>1.18057908</v>
      </c>
      <c r="M40" s="18" t="n">
        <v>0</v>
      </c>
      <c r="N40" s="20" t="n">
        <v>0</v>
      </c>
      <c r="O40" s="18" t="n">
        <v>0</v>
      </c>
      <c r="P40" s="20" t="n">
        <v>0</v>
      </c>
      <c r="Q40" s="18" t="n">
        <v>2.5356475</v>
      </c>
      <c r="R40" s="20" t="n">
        <v>0.92046706</v>
      </c>
    </row>
    <row r="41" spans="1:18">
      <c r="A41" s="15" t="s">
        <v>383</v>
      </c>
      <c r="B41" s="17" t="n">
        <v>2858</v>
      </c>
      <c r="C41" s="18">
        <f>(2537.0/B41*100)</f>
        <v/>
      </c>
      <c r="D41" s="19" t="n">
        <v>321</v>
      </c>
      <c r="E41" s="18" t="n">
        <v>50.50521375</v>
      </c>
      <c r="F41" s="20" t="n">
        <v>2.95325589</v>
      </c>
      <c r="G41" s="18" t="n">
        <v>45.93113714</v>
      </c>
      <c r="H41" s="20" t="n">
        <v>2.80210799</v>
      </c>
      <c r="I41" s="18" t="s">
        <v>349</v>
      </c>
      <c r="J41" s="20" t="s">
        <v>349</v>
      </c>
      <c r="K41" s="18" t="n">
        <v>2.56913057</v>
      </c>
      <c r="L41" s="20" t="n">
        <v>1.11447175</v>
      </c>
      <c r="M41" s="18" t="n">
        <v>0</v>
      </c>
      <c r="N41" s="20" t="n">
        <v>0</v>
      </c>
      <c r="O41" s="18" t="n">
        <v>0</v>
      </c>
      <c r="P41" s="20" t="n">
        <v>0</v>
      </c>
      <c r="Q41" s="18" t="n">
        <v>0.99451855</v>
      </c>
      <c r="R41" s="20" t="n">
        <v>0.4916048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(4511.0/B48*100)</f>
        <v/>
      </c>
      <c r="D48" s="19" t="n">
        <v>648</v>
      </c>
      <c r="E48" s="18" t="n">
        <v>29.73962321</v>
      </c>
      <c r="F48" s="20" t="n">
        <v>2.39601177</v>
      </c>
      <c r="G48" s="18" t="n">
        <v>66.87358836</v>
      </c>
      <c r="H48" s="20" t="n">
        <v>2.60266791</v>
      </c>
      <c r="I48" s="18" t="s">
        <v>349</v>
      </c>
      <c r="J48" s="20" t="s">
        <v>349</v>
      </c>
      <c r="K48" s="18" t="n">
        <v>2.06749855</v>
      </c>
      <c r="L48" s="20" t="n">
        <v>0.86090479</v>
      </c>
      <c r="M48" s="18" t="n">
        <v>0</v>
      </c>
      <c r="N48" s="20" t="n">
        <v>0</v>
      </c>
      <c r="O48" s="18" t="n">
        <v>0</v>
      </c>
      <c r="P48" s="20" t="n">
        <v>0</v>
      </c>
      <c r="Q48" s="18" t="n">
        <v>1.31928988</v>
      </c>
      <c r="R48" s="20" t="n">
        <v>0.64219932</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(2468.0/B52*100)</f>
        <v/>
      </c>
      <c r="D52" s="19" t="n">
        <v>328</v>
      </c>
      <c r="E52" s="18" t="n">
        <v>48.23040357</v>
      </c>
      <c r="F52" s="20" t="n">
        <v>3.16970193</v>
      </c>
      <c r="G52" s="18" t="n">
        <v>40.73381263</v>
      </c>
      <c r="H52" s="20" t="n">
        <v>3.13515722</v>
      </c>
      <c r="I52" s="18" t="s">
        <v>349</v>
      </c>
      <c r="J52" s="20" t="s">
        <v>349</v>
      </c>
      <c r="K52" s="18" t="n">
        <v>8.67141865</v>
      </c>
      <c r="L52" s="20" t="n">
        <v>1.52353367</v>
      </c>
      <c r="M52" s="18" t="n">
        <v>0</v>
      </c>
      <c r="N52" s="20" t="n">
        <v>0</v>
      </c>
      <c r="O52" s="18" t="n">
        <v>0</v>
      </c>
      <c r="P52" s="20" t="n">
        <v>0</v>
      </c>
      <c r="Q52" s="18" t="n">
        <v>2.36436515</v>
      </c>
      <c r="R52" s="20" t="n">
        <v>0.89337827</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(2346.0/B56*100)</f>
        <v/>
      </c>
      <c r="D56" s="19" t="n">
        <v>338</v>
      </c>
      <c r="E56" s="18" t="n">
        <v>24.78078708</v>
      </c>
      <c r="F56" s="20" t="n">
        <v>2.74906116</v>
      </c>
      <c r="G56" s="18" t="n">
        <v>70.90883558</v>
      </c>
      <c r="H56" s="20" t="n">
        <v>2.92928194</v>
      </c>
      <c r="I56" s="18" t="s">
        <v>349</v>
      </c>
      <c r="J56" s="20" t="s">
        <v>349</v>
      </c>
      <c r="K56" s="18" t="n">
        <v>3.74642901</v>
      </c>
      <c r="L56" s="20" t="n">
        <v>1.14274751</v>
      </c>
      <c r="M56" s="18" t="n">
        <v>0</v>
      </c>
      <c r="N56" s="20" t="n">
        <v>0</v>
      </c>
      <c r="O56" s="18" t="n">
        <v>0</v>
      </c>
      <c r="P56" s="20" t="n">
        <v>0</v>
      </c>
      <c r="Q56" s="18" t="n">
        <v>0.56394834</v>
      </c>
      <c r="R56" s="20" t="n">
        <v>0.42018684</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(2890.0/B61*100)</f>
        <v/>
      </c>
      <c r="D61" s="19" t="n">
        <v>434</v>
      </c>
      <c r="E61" s="18" t="n">
        <v>50.73012774</v>
      </c>
      <c r="F61" s="20" t="n">
        <v>2.30337223</v>
      </c>
      <c r="G61" s="18" t="n">
        <v>40.29970088</v>
      </c>
      <c r="H61" s="20" t="n">
        <v>2.42040548</v>
      </c>
      <c r="I61" s="18" t="s">
        <v>349</v>
      </c>
      <c r="J61" s="20" t="s">
        <v>349</v>
      </c>
      <c r="K61" s="18" t="n">
        <v>6.62538627</v>
      </c>
      <c r="L61" s="20" t="n">
        <v>1.28205758</v>
      </c>
      <c r="M61" s="18" t="n">
        <v>0</v>
      </c>
      <c r="N61" s="20" t="n">
        <v>0</v>
      </c>
      <c r="O61" s="18" t="n">
        <v>0</v>
      </c>
      <c r="P61" s="20" t="n">
        <v>0</v>
      </c>
      <c r="Q61" s="18" t="n">
        <v>2.34478511</v>
      </c>
      <c r="R61" s="20" t="n">
        <v>0.88601843</v>
      </c>
    </row>
    <row r="62" spans="1:18">
      <c r="A62" s="15" t="s">
        <v>404</v>
      </c>
      <c r="B62" s="17" t="n">
        <v>2246</v>
      </c>
      <c r="C62" s="18">
        <f>(1975.0/B62*100)</f>
        <v/>
      </c>
      <c r="D62" s="19" t="n">
        <v>271</v>
      </c>
      <c r="E62" s="18" t="n">
        <v>27.71889902</v>
      </c>
      <c r="F62" s="20" t="n">
        <v>2.98039533</v>
      </c>
      <c r="G62" s="18" t="n">
        <v>69.68450416</v>
      </c>
      <c r="H62" s="20" t="n">
        <v>2.90846487</v>
      </c>
      <c r="I62" s="18" t="s">
        <v>349</v>
      </c>
      <c r="J62" s="20" t="s">
        <v>349</v>
      </c>
      <c r="K62" s="18" t="n">
        <v>1.86389176</v>
      </c>
      <c r="L62" s="20" t="n">
        <v>0.8349551</v>
      </c>
      <c r="M62" s="18" t="n">
        <v>0</v>
      </c>
      <c r="N62" s="20" t="n">
        <v>0</v>
      </c>
      <c r="O62" s="18" t="n">
        <v>0</v>
      </c>
      <c r="P62" s="20" t="n">
        <v>0</v>
      </c>
      <c r="Q62" s="18" t="n">
        <v>0.73270506</v>
      </c>
      <c r="R62" s="20" t="n">
        <v>0.51625868</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(2531.0/B66*100)</f>
        <v/>
      </c>
      <c r="D66" s="19" t="n">
        <v>363</v>
      </c>
      <c r="E66" s="18" t="n">
        <v>49.76048589</v>
      </c>
      <c r="F66" s="20" t="n">
        <v>2.6791311</v>
      </c>
      <c r="G66" s="18" t="n">
        <v>24.22323363</v>
      </c>
      <c r="H66" s="20" t="n">
        <v>2.19776743</v>
      </c>
      <c r="I66" s="18" t="s">
        <v>349</v>
      </c>
      <c r="J66" s="20" t="s">
        <v>349</v>
      </c>
      <c r="K66" s="18" t="n">
        <v>20.97820548</v>
      </c>
      <c r="L66" s="20" t="n">
        <v>2.2312833</v>
      </c>
      <c r="M66" s="18" t="n">
        <v>0</v>
      </c>
      <c r="N66" s="20" t="n">
        <v>0</v>
      </c>
      <c r="O66" s="18" t="n">
        <v>0</v>
      </c>
      <c r="P66" s="20" t="n">
        <v>0</v>
      </c>
      <c r="Q66" s="18" t="n">
        <v>5.038075</v>
      </c>
      <c r="R66" s="20" t="n">
        <v>1.02554144</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(5029.0/B68*100)</f>
        <v/>
      </c>
      <c r="D68" s="19" t="n">
        <v>1020</v>
      </c>
      <c r="E68" s="18" t="n">
        <v>55.37255059</v>
      </c>
      <c r="F68" s="20" t="n">
        <v>1.28867664</v>
      </c>
      <c r="G68" s="18" t="n">
        <v>25.81385079</v>
      </c>
      <c r="H68" s="20" t="n">
        <v>1.19610081</v>
      </c>
      <c r="I68" s="18" t="s">
        <v>349</v>
      </c>
      <c r="J68" s="20" t="s">
        <v>349</v>
      </c>
      <c r="K68" s="18" t="n">
        <v>14.77997423</v>
      </c>
      <c r="L68" s="20" t="n">
        <v>1.13311011</v>
      </c>
      <c r="M68" s="18" t="n">
        <v>0</v>
      </c>
      <c r="N68" s="20" t="n">
        <v>0</v>
      </c>
      <c r="O68" s="18" t="n">
        <v>0</v>
      </c>
      <c r="P68" s="20" t="n">
        <v>0</v>
      </c>
      <c r="Q68" s="18" t="n">
        <v>4.03362439</v>
      </c>
      <c r="R68" s="20" t="n">
        <v>0.57936553</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(2575.0/B70*100)</f>
        <v/>
      </c>
      <c r="D70" s="19" t="n">
        <v>354</v>
      </c>
      <c r="E70" s="18" t="n">
        <v>39.27200561</v>
      </c>
      <c r="F70" s="20" t="n">
        <v>3.56746921</v>
      </c>
      <c r="G70" s="18" t="n">
        <v>51.02288818</v>
      </c>
      <c r="H70" s="20" t="n">
        <v>3.69051837</v>
      </c>
      <c r="I70" s="18" t="s">
        <v>349</v>
      </c>
      <c r="J70" s="20" t="s">
        <v>349</v>
      </c>
      <c r="K70" s="18" t="n">
        <v>8.37091066</v>
      </c>
      <c r="L70" s="20" t="n">
        <v>1.93847315</v>
      </c>
      <c r="M70" s="18" t="n">
        <v>0</v>
      </c>
      <c r="N70" s="20" t="n">
        <v>0</v>
      </c>
      <c r="O70" s="18" t="n">
        <v>0</v>
      </c>
      <c r="P70" s="20" t="n">
        <v>0</v>
      </c>
      <c r="Q70" s="18" t="n">
        <v>1.33419556</v>
      </c>
      <c r="R70" s="20" t="n">
        <v>0.60187239</v>
      </c>
    </row>
    <row r="71" spans="1:18">
      <c r="A71" s="15" t="s">
        <v>413</v>
      </c>
      <c r="B71" s="17" t="n">
        <v>3142</v>
      </c>
      <c r="C71" s="18">
        <f>(2754.0/B71*100)</f>
        <v/>
      </c>
      <c r="D71" s="19" t="n">
        <v>388</v>
      </c>
      <c r="E71" s="18" t="n">
        <v>22.52106017</v>
      </c>
      <c r="F71" s="20" t="n">
        <v>2.25004104</v>
      </c>
      <c r="G71" s="18" t="n">
        <v>75.04597536</v>
      </c>
      <c r="H71" s="20" t="n">
        <v>2.33908115</v>
      </c>
      <c r="I71" s="18" t="s">
        <v>349</v>
      </c>
      <c r="J71" s="20" t="s">
        <v>349</v>
      </c>
      <c r="K71" s="18" t="n">
        <v>2.19279966</v>
      </c>
      <c r="L71" s="20" t="n">
        <v>0.67184248</v>
      </c>
      <c r="M71" s="18" t="n">
        <v>0</v>
      </c>
      <c r="N71" s="20" t="n">
        <v>0</v>
      </c>
      <c r="O71" s="18" t="n">
        <v>0</v>
      </c>
      <c r="P71" s="20" t="n">
        <v>0</v>
      </c>
      <c r="Q71" s="18" t="n">
        <v>0.24016481</v>
      </c>
      <c r="R71" s="20" t="n">
        <v>0.24223726</v>
      </c>
    </row>
    <row r="72" spans="1:18">
      <c r="A72" s="15" t="s">
        <v>414</v>
      </c>
      <c r="B72" s="17" t="n">
        <v>3889</v>
      </c>
      <c r="C72" s="18">
        <f>(3416.0/B72*100)</f>
        <v/>
      </c>
      <c r="D72" s="19" t="n">
        <v>473</v>
      </c>
      <c r="E72" s="18" t="n">
        <v>31.7121109</v>
      </c>
      <c r="F72" s="20" t="n">
        <v>2.3821333</v>
      </c>
      <c r="G72" s="18" t="n">
        <v>64.00549401000001</v>
      </c>
      <c r="H72" s="20" t="n">
        <v>2.61764351</v>
      </c>
      <c r="I72" s="18" t="s">
        <v>349</v>
      </c>
      <c r="J72" s="20" t="s">
        <v>349</v>
      </c>
      <c r="K72" s="18" t="n">
        <v>2.90951845</v>
      </c>
      <c r="L72" s="20" t="n">
        <v>0.79232193</v>
      </c>
      <c r="M72" s="18" t="n">
        <v>0</v>
      </c>
      <c r="N72" s="20" t="n">
        <v>0</v>
      </c>
      <c r="O72" s="18" t="n">
        <v>0</v>
      </c>
      <c r="P72" s="20" t="n">
        <v>0</v>
      </c>
      <c r="Q72" s="18" t="n">
        <v>1.37287665</v>
      </c>
      <c r="R72" s="20" t="n">
        <v>0.50332144</v>
      </c>
    </row>
    <row r="73" spans="1:18">
      <c r="A73" s="15" t="s">
        <v>415</v>
      </c>
      <c r="B73" s="17" t="n">
        <v>3597</v>
      </c>
      <c r="C73" s="18">
        <f>(3148.0/B73*100)</f>
        <v/>
      </c>
      <c r="D73" s="19" t="n">
        <v>449</v>
      </c>
      <c r="E73" s="18" t="n">
        <v>75.8707807</v>
      </c>
      <c r="F73" s="20" t="n">
        <v>3.21327282</v>
      </c>
      <c r="G73" s="18" t="n">
        <v>21.39782347</v>
      </c>
      <c r="H73" s="20" t="n">
        <v>2.98900692</v>
      </c>
      <c r="I73" s="18" t="s">
        <v>349</v>
      </c>
      <c r="J73" s="20" t="s">
        <v>349</v>
      </c>
      <c r="K73" s="18" t="n">
        <v>1.82175072</v>
      </c>
      <c r="L73" s="20" t="n">
        <v>1.0432688</v>
      </c>
      <c r="M73" s="18" t="n">
        <v>0</v>
      </c>
      <c r="N73" s="20" t="n">
        <v>0</v>
      </c>
      <c r="O73" s="18" t="n">
        <v>0</v>
      </c>
      <c r="P73" s="20" t="n">
        <v>0</v>
      </c>
      <c r="Q73" s="18" t="n">
        <v>0.90964511</v>
      </c>
      <c r="R73" s="20" t="n">
        <v>0.90347782</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(3649.0/B81*100)</f>
        <v/>
      </c>
      <c r="D81" s="19" t="n">
        <v>514</v>
      </c>
      <c r="E81" s="18" t="n">
        <v>49.79743115</v>
      </c>
      <c r="F81" s="20" t="n">
        <v>2.51355741</v>
      </c>
      <c r="G81" s="18" t="n">
        <v>46.62759704</v>
      </c>
      <c r="H81" s="20" t="n">
        <v>2.70268891</v>
      </c>
      <c r="I81" s="18" t="s">
        <v>349</v>
      </c>
      <c r="J81" s="20" t="s">
        <v>349</v>
      </c>
      <c r="K81" s="18" t="n">
        <v>2.44571508</v>
      </c>
      <c r="L81" s="20" t="n">
        <v>1.08381737</v>
      </c>
      <c r="M81" s="18" t="n">
        <v>0</v>
      </c>
      <c r="N81" s="20" t="n">
        <v>0</v>
      </c>
      <c r="O81" s="18" t="n">
        <v>0</v>
      </c>
      <c r="P81" s="20" t="n">
        <v>0</v>
      </c>
      <c r="Q81" s="18" t="n">
        <v>1.12925673</v>
      </c>
      <c r="R81" s="20" t="n">
        <v>0.50762717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331</v>
      </c>
    </row>
    <row r="2" spans="1:22">
      <c r="A2" s="5" t="s">
        <v>520</v>
      </c>
    </row>
    <row customHeight="1" ht="30" r="4" spans="1:22">
      <c r="A4" s="6" t="n"/>
      <c r="B4" s="7" t="s">
        <v>333</v>
      </c>
      <c r="C4" s="7" t="s">
        <v>334</v>
      </c>
      <c r="D4" s="8" t="s">
        <v>333</v>
      </c>
      <c r="E4" s="9" t="s">
        <v>440</v>
      </c>
      <c r="F4" s="10" t="n"/>
      <c r="G4" s="9" t="s">
        <v>441</v>
      </c>
      <c r="H4" s="10" t="n"/>
      <c r="I4" s="9" t="s">
        <v>442</v>
      </c>
      <c r="J4" s="10" t="n"/>
      <c r="K4" s="9" t="s">
        <v>444</v>
      </c>
      <c r="L4" s="10" t="n"/>
      <c r="M4" s="9" t="s">
        <v>337</v>
      </c>
      <c r="N4" s="10" t="n"/>
      <c r="O4" s="9" t="s">
        <v>338</v>
      </c>
      <c r="P4" s="10" t="n"/>
      <c r="Q4" s="9" t="s">
        <v>339</v>
      </c>
      <c r="R4" s="10" t="n"/>
      <c r="S4" s="9" t="s">
        <v>340</v>
      </c>
      <c r="T4" s="10" t="n"/>
      <c r="U4" s="9" t="s">
        <v>341</v>
      </c>
      <c r="V4" s="10" t="n"/>
    </row>
    <row r="5" spans="1:22">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row>
    <row r="6" spans="1:22">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348</v>
      </c>
      <c r="B7" s="17" t="n">
        <v>7367</v>
      </c>
      <c r="C7" s="18">
        <f>(6505.0/B7*100)</f>
        <v/>
      </c>
      <c r="D7" s="19" t="n">
        <v>862</v>
      </c>
      <c r="E7" s="18" t="n">
        <v>61.58792068</v>
      </c>
      <c r="F7" s="20" t="n">
        <v>1.85842623</v>
      </c>
      <c r="G7" s="18" t="n">
        <v>3.06838993</v>
      </c>
      <c r="H7" s="20" t="n">
        <v>0.64903777</v>
      </c>
      <c r="I7" s="18" t="n">
        <v>4.67368401</v>
      </c>
      <c r="J7" s="20" t="n">
        <v>0.85580024</v>
      </c>
      <c r="K7" s="18" t="n">
        <v>12.01855328</v>
      </c>
      <c r="L7" s="20" t="n">
        <v>1.34126526</v>
      </c>
      <c r="M7" s="18" t="s">
        <v>349</v>
      </c>
      <c r="N7" s="20" t="s">
        <v>349</v>
      </c>
      <c r="O7" s="18" t="n">
        <v>18.60544205</v>
      </c>
      <c r="P7" s="20" t="n">
        <v>1.63608457</v>
      </c>
      <c r="Q7" s="18" t="n">
        <v>0.04601004</v>
      </c>
      <c r="R7" s="20" t="n">
        <v>0.0259091</v>
      </c>
      <c r="S7" s="18" t="n">
        <v>0</v>
      </c>
      <c r="T7" s="20" t="n">
        <v>0</v>
      </c>
      <c r="U7" s="18" t="n">
        <v>0</v>
      </c>
      <c r="V7" s="20" t="n">
        <v>0</v>
      </c>
    </row>
    <row r="8" spans="1:22">
      <c r="A8" s="15" t="s">
        <v>350</v>
      </c>
      <c r="B8" s="17" t="n">
        <v>3564</v>
      </c>
      <c r="C8" s="18">
        <f>(3162.0/B8*100)</f>
        <v/>
      </c>
      <c r="D8" s="19" t="n">
        <v>402</v>
      </c>
      <c r="E8" s="18" t="n">
        <v>45.61103059</v>
      </c>
      <c r="F8" s="20" t="n">
        <v>2.95134937</v>
      </c>
      <c r="G8" s="18" t="n">
        <v>3.67769181</v>
      </c>
      <c r="H8" s="20" t="n">
        <v>0.81292505</v>
      </c>
      <c r="I8" s="18" t="n">
        <v>8.766303519999999</v>
      </c>
      <c r="J8" s="20" t="n">
        <v>1.5310748</v>
      </c>
      <c r="K8" s="18" t="n">
        <v>17.46398419</v>
      </c>
      <c r="L8" s="20" t="n">
        <v>2.3807622</v>
      </c>
      <c r="M8" s="18" t="s">
        <v>349</v>
      </c>
      <c r="N8" s="20" t="s">
        <v>349</v>
      </c>
      <c r="O8" s="18" t="n">
        <v>24.4809899</v>
      </c>
      <c r="P8" s="20" t="n">
        <v>2.57117263</v>
      </c>
      <c r="Q8" s="18" t="n">
        <v>0</v>
      </c>
      <c r="R8" s="20" t="n">
        <v>0</v>
      </c>
      <c r="S8" s="18" t="n">
        <v>0</v>
      </c>
      <c r="T8" s="20" t="n">
        <v>0</v>
      </c>
      <c r="U8" s="18" t="n">
        <v>0</v>
      </c>
      <c r="V8" s="20" t="n">
        <v>0</v>
      </c>
    </row>
    <row r="9" spans="1:22">
      <c r="A9" s="15" t="s">
        <v>351</v>
      </c>
      <c r="B9" s="17" t="n">
        <v>4899</v>
      </c>
      <c r="C9" s="18">
        <f>(4334.0/B9*100)</f>
        <v/>
      </c>
      <c r="D9" s="19" t="n">
        <v>565</v>
      </c>
      <c r="E9" s="18" t="n">
        <v>52.32702637</v>
      </c>
      <c r="F9" s="20" t="n">
        <v>2.53599148</v>
      </c>
      <c r="G9" s="18" t="n">
        <v>3.47463192</v>
      </c>
      <c r="H9" s="20" t="n">
        <v>0.88088615</v>
      </c>
      <c r="I9" s="18" t="n">
        <v>7.20815526</v>
      </c>
      <c r="J9" s="20" t="n">
        <v>1.18860578</v>
      </c>
      <c r="K9" s="18" t="n">
        <v>15.50595315</v>
      </c>
      <c r="L9" s="20" t="n">
        <v>1.5297439</v>
      </c>
      <c r="M9" s="18" t="s">
        <v>349</v>
      </c>
      <c r="N9" s="20" t="s">
        <v>349</v>
      </c>
      <c r="O9" s="18" t="n">
        <v>20.96248637</v>
      </c>
      <c r="P9" s="20" t="n">
        <v>1.82597764</v>
      </c>
      <c r="Q9" s="18" t="n">
        <v>0.52174692</v>
      </c>
      <c r="R9" s="20" t="n">
        <v>0.37087197</v>
      </c>
      <c r="S9" s="18" t="n">
        <v>0</v>
      </c>
      <c r="T9" s="20" t="n">
        <v>0</v>
      </c>
      <c r="U9" s="18" t="n">
        <v>0</v>
      </c>
      <c r="V9" s="20" t="n">
        <v>0</v>
      </c>
    </row>
    <row r="10" spans="1:22">
      <c r="A10" s="15" t="s">
        <v>352</v>
      </c>
      <c r="B10" s="17" t="n">
        <v>10036</v>
      </c>
      <c r="C10" s="18">
        <f>(8824.0/B10*100)</f>
        <v/>
      </c>
      <c r="D10" s="19" t="n">
        <v>1212</v>
      </c>
      <c r="E10" s="18" t="n">
        <v>58.32517349</v>
      </c>
      <c r="F10" s="20" t="n">
        <v>2.08919961</v>
      </c>
      <c r="G10" s="18" t="n">
        <v>2.7641964</v>
      </c>
      <c r="H10" s="20" t="n">
        <v>0.74142756</v>
      </c>
      <c r="I10" s="18" t="n">
        <v>6.45525388</v>
      </c>
      <c r="J10" s="20" t="n">
        <v>0.91518293</v>
      </c>
      <c r="K10" s="18" t="n">
        <v>19.74576084</v>
      </c>
      <c r="L10" s="20" t="n">
        <v>1.77546657</v>
      </c>
      <c r="M10" s="18" t="s">
        <v>349</v>
      </c>
      <c r="N10" s="20" t="s">
        <v>349</v>
      </c>
      <c r="O10" s="18" t="n">
        <v>12.50261312</v>
      </c>
      <c r="P10" s="20" t="n">
        <v>1.46115084</v>
      </c>
      <c r="Q10" s="18" t="n">
        <v>0.20700226</v>
      </c>
      <c r="R10" s="20" t="n">
        <v>0.12458865</v>
      </c>
      <c r="S10" s="18" t="n">
        <v>0</v>
      </c>
      <c r="T10" s="20" t="n">
        <v>0</v>
      </c>
      <c r="U10" s="18" t="n">
        <v>0</v>
      </c>
      <c r="V10" s="20" t="n">
        <v>0</v>
      </c>
    </row>
    <row r="11" spans="1:22">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row>
    <row r="12" spans="1:22">
      <c r="A12" s="15" t="s">
        <v>354</v>
      </c>
      <c r="B12" s="17" t="n">
        <v>3472</v>
      </c>
      <c r="C12" s="18">
        <f>(3072.0/B12*100)</f>
        <v/>
      </c>
      <c r="D12" s="19" t="n">
        <v>400</v>
      </c>
      <c r="E12" s="18" t="n">
        <v>51.55372834</v>
      </c>
      <c r="F12" s="20" t="n">
        <v>2.21725728</v>
      </c>
      <c r="G12" s="18" t="n">
        <v>0.48357651</v>
      </c>
      <c r="H12" s="20" t="n">
        <v>0.27956827</v>
      </c>
      <c r="I12" s="18" t="n">
        <v>4.53729428</v>
      </c>
      <c r="J12" s="20" t="n">
        <v>1.1195066</v>
      </c>
      <c r="K12" s="18" t="n">
        <v>12.22138467</v>
      </c>
      <c r="L12" s="20" t="n">
        <v>1.75609208</v>
      </c>
      <c r="M12" s="18" t="s">
        <v>349</v>
      </c>
      <c r="N12" s="20" t="s">
        <v>349</v>
      </c>
      <c r="O12" s="18" t="n">
        <v>30.71421262</v>
      </c>
      <c r="P12" s="20" t="n">
        <v>2.28947131</v>
      </c>
      <c r="Q12" s="18" t="n">
        <v>0.48980358</v>
      </c>
      <c r="R12" s="20" t="n">
        <v>0.47999937</v>
      </c>
      <c r="S12" s="18" t="n">
        <v>0</v>
      </c>
      <c r="T12" s="20" t="n">
        <v>0</v>
      </c>
      <c r="U12" s="18" t="n">
        <v>0</v>
      </c>
      <c r="V12" s="20" t="n">
        <v>0</v>
      </c>
    </row>
    <row r="13" spans="1:22">
      <c r="A13" s="15" t="s">
        <v>355</v>
      </c>
      <c r="B13" s="17" t="n">
        <v>3559</v>
      </c>
      <c r="C13" s="18">
        <f>(3147.0/B13*100)</f>
        <v/>
      </c>
      <c r="D13" s="19" t="n">
        <v>412</v>
      </c>
      <c r="E13" s="18" t="n">
        <v>57.3824005</v>
      </c>
      <c r="F13" s="20" t="n">
        <v>2.59708462</v>
      </c>
      <c r="G13" s="18" t="n">
        <v>1.04689731</v>
      </c>
      <c r="H13" s="20" t="n">
        <v>0.52325014</v>
      </c>
      <c r="I13" s="18" t="n">
        <v>7.28896915</v>
      </c>
      <c r="J13" s="20" t="n">
        <v>1.32382975</v>
      </c>
      <c r="K13" s="18" t="n">
        <v>18.75034902</v>
      </c>
      <c r="L13" s="20" t="n">
        <v>2.43036826</v>
      </c>
      <c r="M13" s="18" t="s">
        <v>349</v>
      </c>
      <c r="N13" s="20" t="s">
        <v>349</v>
      </c>
      <c r="O13" s="18" t="n">
        <v>15.53138402</v>
      </c>
      <c r="P13" s="20" t="n">
        <v>1.92995372</v>
      </c>
      <c r="Q13" s="18" t="n">
        <v>0</v>
      </c>
      <c r="R13" s="20" t="n">
        <v>0</v>
      </c>
      <c r="S13" s="18" t="n">
        <v>0</v>
      </c>
      <c r="T13" s="20" t="n">
        <v>0</v>
      </c>
      <c r="U13" s="18" t="n">
        <v>0</v>
      </c>
      <c r="V13" s="20" t="n">
        <v>0</v>
      </c>
    </row>
    <row r="14" spans="1:22">
      <c r="A14" s="15" t="s">
        <v>356</v>
      </c>
      <c r="B14" s="17" t="n">
        <v>2799</v>
      </c>
      <c r="C14" s="18">
        <f>(2425.0/B14*100)</f>
        <v/>
      </c>
      <c r="D14" s="19" t="n">
        <v>374</v>
      </c>
      <c r="E14" s="18" t="n">
        <v>56.4059659</v>
      </c>
      <c r="F14" s="20" t="n">
        <v>3.41111765</v>
      </c>
      <c r="G14" s="18" t="n">
        <v>0.9079283500000001</v>
      </c>
      <c r="H14" s="20" t="n">
        <v>0.45937759</v>
      </c>
      <c r="I14" s="18" t="n">
        <v>9.239266150000001</v>
      </c>
      <c r="J14" s="20" t="n">
        <v>1.50341556</v>
      </c>
      <c r="K14" s="18" t="n">
        <v>14.74549042</v>
      </c>
      <c r="L14" s="20" t="n">
        <v>2.22546175</v>
      </c>
      <c r="M14" s="18" t="s">
        <v>349</v>
      </c>
      <c r="N14" s="20" t="s">
        <v>349</v>
      </c>
      <c r="O14" s="18" t="n">
        <v>18.70134918</v>
      </c>
      <c r="P14" s="20" t="n">
        <v>2.59402668</v>
      </c>
      <c r="Q14" s="18" t="n">
        <v>0</v>
      </c>
      <c r="R14" s="20" t="n">
        <v>0</v>
      </c>
      <c r="S14" s="18" t="n">
        <v>0</v>
      </c>
      <c r="T14" s="20" t="n">
        <v>0</v>
      </c>
      <c r="U14" s="18" t="n">
        <v>0</v>
      </c>
      <c r="V14" s="20" t="n">
        <v>0</v>
      </c>
    </row>
    <row r="15" spans="1:22">
      <c r="A15" s="15" t="s">
        <v>357</v>
      </c>
      <c r="B15" s="17" t="n">
        <v>3019</v>
      </c>
      <c r="C15" s="18">
        <f>(2650.0/B15*100)</f>
        <v/>
      </c>
      <c r="D15" s="19" t="n">
        <v>369</v>
      </c>
      <c r="E15" s="18" t="n">
        <v>55.1994449</v>
      </c>
      <c r="F15" s="20" t="n">
        <v>2.55472394</v>
      </c>
      <c r="G15" s="18" t="n">
        <v>2.80343371</v>
      </c>
      <c r="H15" s="20" t="n">
        <v>1.23221968</v>
      </c>
      <c r="I15" s="18" t="n">
        <v>6.41744059</v>
      </c>
      <c r="J15" s="20" t="n">
        <v>1.23145418</v>
      </c>
      <c r="K15" s="18" t="n">
        <v>12.48426899</v>
      </c>
      <c r="L15" s="20" t="n">
        <v>1.7226825</v>
      </c>
      <c r="M15" s="18" t="s">
        <v>349</v>
      </c>
      <c r="N15" s="20" t="s">
        <v>349</v>
      </c>
      <c r="O15" s="18" t="n">
        <v>23.0954118</v>
      </c>
      <c r="P15" s="20" t="n">
        <v>2.41299062</v>
      </c>
      <c r="Q15" s="18" t="n">
        <v>0</v>
      </c>
      <c r="R15" s="20" t="n">
        <v>0</v>
      </c>
      <c r="S15" s="18" t="n">
        <v>0</v>
      </c>
      <c r="T15" s="20" t="n">
        <v>0</v>
      </c>
      <c r="U15" s="18" t="n">
        <v>0</v>
      </c>
      <c r="V15" s="20" t="n">
        <v>0</v>
      </c>
    </row>
    <row r="16" spans="1:22">
      <c r="A16" s="15" t="s">
        <v>358</v>
      </c>
      <c r="B16" s="17" t="n">
        <v>2997</v>
      </c>
      <c r="C16" s="18">
        <f>(2621.0/B16*100)</f>
        <v/>
      </c>
      <c r="D16" s="19" t="n">
        <v>376</v>
      </c>
      <c r="E16" s="18" t="n">
        <v>47.04474735</v>
      </c>
      <c r="F16" s="20" t="n">
        <v>2.27085812</v>
      </c>
      <c r="G16" s="18" t="n">
        <v>0.46663456</v>
      </c>
      <c r="H16" s="20" t="n">
        <v>0.32202972</v>
      </c>
      <c r="I16" s="18" t="n">
        <v>6.70402824</v>
      </c>
      <c r="J16" s="20" t="n">
        <v>1.11818465</v>
      </c>
      <c r="K16" s="18" t="n">
        <v>9.492622089999999</v>
      </c>
      <c r="L16" s="20" t="n">
        <v>1.40910901</v>
      </c>
      <c r="M16" s="18" t="s">
        <v>349</v>
      </c>
      <c r="N16" s="20" t="s">
        <v>349</v>
      </c>
      <c r="O16" s="18" t="n">
        <v>36.29196777</v>
      </c>
      <c r="P16" s="20" t="n">
        <v>2.08668254</v>
      </c>
      <c r="Q16" s="18" t="n">
        <v>0</v>
      </c>
      <c r="R16" s="20" t="n">
        <v>0</v>
      </c>
      <c r="S16" s="18" t="n">
        <v>0</v>
      </c>
      <c r="T16" s="20" t="n">
        <v>0</v>
      </c>
      <c r="U16" s="18" t="n">
        <v>0</v>
      </c>
      <c r="V16" s="20" t="n">
        <v>0</v>
      </c>
    </row>
    <row r="17" spans="1:22">
      <c r="A17" s="15" t="s">
        <v>359</v>
      </c>
      <c r="B17" s="17" t="n">
        <v>3307</v>
      </c>
      <c r="C17" s="18">
        <f>(2922.0/B17*100)</f>
        <v/>
      </c>
      <c r="D17" s="19" t="n">
        <v>385</v>
      </c>
      <c r="E17" s="18" t="n">
        <v>55.82897255</v>
      </c>
      <c r="F17" s="20" t="n">
        <v>2.76278463</v>
      </c>
      <c r="G17" s="18" t="n">
        <v>0.68955799</v>
      </c>
      <c r="H17" s="20" t="n">
        <v>0.35456332</v>
      </c>
      <c r="I17" s="18" t="n">
        <v>5.20868269</v>
      </c>
      <c r="J17" s="20" t="n">
        <v>1.32153394</v>
      </c>
      <c r="K17" s="18" t="n">
        <v>15.58780826</v>
      </c>
      <c r="L17" s="20" t="n">
        <v>1.92829905</v>
      </c>
      <c r="M17" s="18" t="s">
        <v>349</v>
      </c>
      <c r="N17" s="20" t="s">
        <v>349</v>
      </c>
      <c r="O17" s="18" t="n">
        <v>22.68497851</v>
      </c>
      <c r="P17" s="20" t="n">
        <v>1.89415004</v>
      </c>
      <c r="Q17" s="18" t="n">
        <v>0</v>
      </c>
      <c r="R17" s="20" t="n">
        <v>0</v>
      </c>
      <c r="S17" s="18" t="n">
        <v>0</v>
      </c>
      <c r="T17" s="20" t="n">
        <v>0</v>
      </c>
      <c r="U17" s="18" t="n">
        <v>0</v>
      </c>
      <c r="V17" s="20" t="n">
        <v>0</v>
      </c>
    </row>
    <row r="18" spans="1:22">
      <c r="A18" s="15" t="s">
        <v>360</v>
      </c>
      <c r="B18" s="17" t="n">
        <v>2826</v>
      </c>
      <c r="C18" s="18">
        <f>(2456.0/B18*100)</f>
        <v/>
      </c>
      <c r="D18" s="19" t="n">
        <v>370</v>
      </c>
      <c r="E18" s="18" t="n">
        <v>65.00521362000001</v>
      </c>
      <c r="F18" s="20" t="n">
        <v>2.79283172</v>
      </c>
      <c r="G18" s="18" t="n">
        <v>0</v>
      </c>
      <c r="H18" s="20" t="n">
        <v>0</v>
      </c>
      <c r="I18" s="18" t="n">
        <v>3.42337241</v>
      </c>
      <c r="J18" s="20" t="n">
        <v>0.87521466</v>
      </c>
      <c r="K18" s="18" t="n">
        <v>5.2440212</v>
      </c>
      <c r="L18" s="20" t="n">
        <v>1.1644116</v>
      </c>
      <c r="M18" s="18" t="s">
        <v>349</v>
      </c>
      <c r="N18" s="20" t="s">
        <v>349</v>
      </c>
      <c r="O18" s="18" t="n">
        <v>26.32739276</v>
      </c>
      <c r="P18" s="20" t="n">
        <v>2.71405691</v>
      </c>
      <c r="Q18" s="18" t="n">
        <v>0</v>
      </c>
      <c r="R18" s="20" t="n">
        <v>0</v>
      </c>
      <c r="S18" s="18" t="n">
        <v>0</v>
      </c>
      <c r="T18" s="20" t="n">
        <v>0</v>
      </c>
      <c r="U18" s="18" t="n">
        <v>0</v>
      </c>
      <c r="V18" s="20" t="n">
        <v>0</v>
      </c>
    </row>
    <row r="19" spans="1:22">
      <c r="A19" s="15" t="s">
        <v>361</v>
      </c>
      <c r="B19" s="17" t="n">
        <v>2808</v>
      </c>
      <c r="C19" s="18">
        <f>(2486.0/B19*100)</f>
        <v/>
      </c>
      <c r="D19" s="19" t="n">
        <v>322</v>
      </c>
      <c r="E19" s="18" t="n">
        <v>63.77347946</v>
      </c>
      <c r="F19" s="20" t="n">
        <v>2.6716859</v>
      </c>
      <c r="G19" s="18" t="n">
        <v>0</v>
      </c>
      <c r="H19" s="20" t="n">
        <v>0</v>
      </c>
      <c r="I19" s="18" t="n">
        <v>3.41078844</v>
      </c>
      <c r="J19" s="20" t="n">
        <v>1.00020981</v>
      </c>
      <c r="K19" s="18" t="n">
        <v>8.57924467</v>
      </c>
      <c r="L19" s="20" t="n">
        <v>1.61863237</v>
      </c>
      <c r="M19" s="18" t="s">
        <v>349</v>
      </c>
      <c r="N19" s="20" t="s">
        <v>349</v>
      </c>
      <c r="O19" s="18" t="n">
        <v>24.23648743</v>
      </c>
      <c r="P19" s="20" t="n">
        <v>2.50474469</v>
      </c>
      <c r="Q19" s="18" t="n">
        <v>0</v>
      </c>
      <c r="R19" s="20" t="n">
        <v>0</v>
      </c>
      <c r="S19" s="18" t="n">
        <v>0</v>
      </c>
      <c r="T19" s="20" t="n">
        <v>0</v>
      </c>
      <c r="U19" s="18" t="n">
        <v>0</v>
      </c>
      <c r="V19" s="20" t="n">
        <v>0</v>
      </c>
    </row>
    <row r="20" spans="1:22">
      <c r="A20" s="15" t="s">
        <v>362</v>
      </c>
      <c r="B20" s="17" t="n">
        <v>1630</v>
      </c>
      <c r="C20" s="18">
        <f>(1432.0/B20*100)</f>
        <v/>
      </c>
      <c r="D20" s="19" t="n">
        <v>198</v>
      </c>
      <c r="E20" s="18" t="n">
        <v>60.76692886</v>
      </c>
      <c r="F20" s="20" t="n">
        <v>3.13190072</v>
      </c>
      <c r="G20" s="18" t="n">
        <v>0.49291684</v>
      </c>
      <c r="H20" s="20" t="n">
        <v>0.49629985</v>
      </c>
      <c r="I20" s="18" t="n">
        <v>4.87277131</v>
      </c>
      <c r="J20" s="20" t="n">
        <v>1.52363895</v>
      </c>
      <c r="K20" s="18" t="n">
        <v>11.15228129</v>
      </c>
      <c r="L20" s="20" t="n">
        <v>2.08037904</v>
      </c>
      <c r="M20" s="18" t="s">
        <v>349</v>
      </c>
      <c r="N20" s="20" t="s">
        <v>349</v>
      </c>
      <c r="O20" s="18" t="n">
        <v>22.7151017</v>
      </c>
      <c r="P20" s="20" t="n">
        <v>3.1607591</v>
      </c>
      <c r="Q20" s="18" t="n">
        <v>0</v>
      </c>
      <c r="R20" s="20" t="n">
        <v>0</v>
      </c>
      <c r="S20" s="18" t="n">
        <v>0</v>
      </c>
      <c r="T20" s="20" t="n">
        <v>0</v>
      </c>
      <c r="U20" s="18" t="n">
        <v>0</v>
      </c>
      <c r="V20" s="20" t="n">
        <v>0</v>
      </c>
    </row>
    <row r="21" spans="1:22">
      <c r="A21" s="15" t="s">
        <v>363</v>
      </c>
      <c r="B21" s="17" t="n">
        <v>2908</v>
      </c>
      <c r="C21" s="18">
        <f>(2425.0/B21*100)</f>
        <v/>
      </c>
      <c r="D21" s="19" t="n">
        <v>483</v>
      </c>
      <c r="E21" s="18" t="n">
        <v>51.48000538</v>
      </c>
      <c r="F21" s="20" t="n">
        <v>2.06834612</v>
      </c>
      <c r="G21" s="18" t="n">
        <v>4.45368768</v>
      </c>
      <c r="H21" s="20" t="n">
        <v>1.03414407</v>
      </c>
      <c r="I21" s="18" t="n">
        <v>6.19753579</v>
      </c>
      <c r="J21" s="20" t="n">
        <v>0.88426921</v>
      </c>
      <c r="K21" s="18" t="n">
        <v>20.66540154</v>
      </c>
      <c r="L21" s="20" t="n">
        <v>2.1121219</v>
      </c>
      <c r="M21" s="18" t="s">
        <v>349</v>
      </c>
      <c r="N21" s="20" t="s">
        <v>349</v>
      </c>
      <c r="O21" s="18" t="n">
        <v>17.20336961</v>
      </c>
      <c r="P21" s="20" t="n">
        <v>1.58501627</v>
      </c>
      <c r="Q21" s="18" t="n">
        <v>0</v>
      </c>
      <c r="R21" s="20" t="n">
        <v>0</v>
      </c>
      <c r="S21" s="18" t="n">
        <v>0</v>
      </c>
      <c r="T21" s="20" t="n">
        <v>0</v>
      </c>
      <c r="U21" s="18" t="n">
        <v>0</v>
      </c>
      <c r="V21" s="20" t="n">
        <v>0</v>
      </c>
    </row>
    <row r="22" spans="1:22">
      <c r="A22" s="15" t="s">
        <v>364</v>
      </c>
      <c r="B22" s="17" t="n">
        <v>2931</v>
      </c>
      <c r="C22" s="18">
        <f>(2580.0/B22*100)</f>
        <v/>
      </c>
      <c r="D22" s="19" t="n">
        <v>351</v>
      </c>
      <c r="E22" s="18" t="n">
        <v>55.42101414</v>
      </c>
      <c r="F22" s="20" t="n">
        <v>2.57884847</v>
      </c>
      <c r="G22" s="18" t="n">
        <v>1.20163813</v>
      </c>
      <c r="H22" s="20" t="n">
        <v>0.55622196</v>
      </c>
      <c r="I22" s="18" t="n">
        <v>5.63756184</v>
      </c>
      <c r="J22" s="20" t="n">
        <v>1.26209924</v>
      </c>
      <c r="K22" s="18" t="n">
        <v>12.62972895</v>
      </c>
      <c r="L22" s="20" t="n">
        <v>1.72729252</v>
      </c>
      <c r="M22" s="18" t="s">
        <v>349</v>
      </c>
      <c r="N22" s="20" t="s">
        <v>349</v>
      </c>
      <c r="O22" s="18" t="n">
        <v>25.11005694</v>
      </c>
      <c r="P22" s="20" t="n">
        <v>2.63187021</v>
      </c>
      <c r="Q22" s="18" t="n">
        <v>0</v>
      </c>
      <c r="R22" s="20" t="n">
        <v>0</v>
      </c>
      <c r="S22" s="18" t="n">
        <v>0</v>
      </c>
      <c r="T22" s="20" t="n">
        <v>0</v>
      </c>
      <c r="U22" s="18" t="n">
        <v>0</v>
      </c>
      <c r="V22" s="20" t="n">
        <v>0</v>
      </c>
    </row>
    <row r="23" spans="1:22">
      <c r="A23" s="15" t="s">
        <v>365</v>
      </c>
      <c r="B23" s="17" t="n">
        <v>5791</v>
      </c>
      <c r="C23" s="18">
        <f>(5106.0/B23*100)</f>
        <v/>
      </c>
      <c r="D23" s="19" t="n">
        <v>685</v>
      </c>
      <c r="E23" s="18" t="n">
        <v>48.96750629</v>
      </c>
      <c r="F23" s="20" t="n">
        <v>2.77300311</v>
      </c>
      <c r="G23" s="18" t="n">
        <v>1.31720148</v>
      </c>
      <c r="H23" s="20" t="n">
        <v>0.53251632</v>
      </c>
      <c r="I23" s="18" t="n">
        <v>3.40067584</v>
      </c>
      <c r="J23" s="20" t="n">
        <v>0.82061815</v>
      </c>
      <c r="K23" s="18" t="n">
        <v>7.33167088</v>
      </c>
      <c r="L23" s="20" t="n">
        <v>1.37924491</v>
      </c>
      <c r="M23" s="18" t="s">
        <v>349</v>
      </c>
      <c r="N23" s="20" t="s">
        <v>349</v>
      </c>
      <c r="O23" s="18" t="n">
        <v>38.98294552</v>
      </c>
      <c r="P23" s="20" t="n">
        <v>2.67716217</v>
      </c>
      <c r="Q23" s="18" t="n">
        <v>0</v>
      </c>
      <c r="R23" s="20" t="n">
        <v>0</v>
      </c>
      <c r="S23" s="18" t="n">
        <v>0</v>
      </c>
      <c r="T23" s="20" t="n">
        <v>0</v>
      </c>
      <c r="U23" s="18" t="n">
        <v>0</v>
      </c>
      <c r="V23" s="20" t="n">
        <v>0</v>
      </c>
    </row>
    <row r="24" spans="1:22">
      <c r="A24" s="15" t="s">
        <v>366</v>
      </c>
      <c r="B24" s="17" t="n">
        <v>3338</v>
      </c>
      <c r="C24" s="18">
        <f>(2929.0/B24*100)</f>
        <v/>
      </c>
      <c r="D24" s="19" t="n">
        <v>409</v>
      </c>
      <c r="E24" s="18" t="n">
        <v>41.27200793</v>
      </c>
      <c r="F24" s="20" t="n">
        <v>2.69544895</v>
      </c>
      <c r="G24" s="18" t="n">
        <v>3.65663998</v>
      </c>
      <c r="H24" s="20" t="n">
        <v>0.84918461</v>
      </c>
      <c r="I24" s="18" t="n">
        <v>5.61149176</v>
      </c>
      <c r="J24" s="20" t="n">
        <v>1.08036874</v>
      </c>
      <c r="K24" s="18" t="n">
        <v>17.87892676</v>
      </c>
      <c r="L24" s="20" t="n">
        <v>2.0124089</v>
      </c>
      <c r="M24" s="18" t="s">
        <v>349</v>
      </c>
      <c r="N24" s="20" t="s">
        <v>349</v>
      </c>
      <c r="O24" s="18" t="n">
        <v>31.58093357</v>
      </c>
      <c r="P24" s="20" t="n">
        <v>2.35337376</v>
      </c>
      <c r="Q24" s="18" t="n">
        <v>0</v>
      </c>
      <c r="R24" s="20" t="n">
        <v>0</v>
      </c>
      <c r="S24" s="18" t="n">
        <v>0</v>
      </c>
      <c r="T24" s="20" t="n">
        <v>0</v>
      </c>
      <c r="U24" s="18" t="n">
        <v>0</v>
      </c>
      <c r="V24" s="20" t="n">
        <v>0</v>
      </c>
    </row>
    <row r="25" spans="1:22">
      <c r="A25" s="15" t="s">
        <v>367</v>
      </c>
      <c r="B25" s="17" t="n">
        <v>2912</v>
      </c>
      <c r="C25" s="18">
        <f>(2542.0/B25*100)</f>
        <v/>
      </c>
      <c r="D25" s="19" t="n">
        <v>370</v>
      </c>
      <c r="E25" s="18" t="n">
        <v>49.1599612</v>
      </c>
      <c r="F25" s="20" t="n">
        <v>2.51849569</v>
      </c>
      <c r="G25" s="18" t="n">
        <v>2.39028435</v>
      </c>
      <c r="H25" s="20" t="n">
        <v>0.97332884</v>
      </c>
      <c r="I25" s="18" t="n">
        <v>2.01236382</v>
      </c>
      <c r="J25" s="20" t="n">
        <v>0.62044929</v>
      </c>
      <c r="K25" s="18" t="n">
        <v>22.84319912</v>
      </c>
      <c r="L25" s="20" t="n">
        <v>2.99357217</v>
      </c>
      <c r="M25" s="18" t="s">
        <v>349</v>
      </c>
      <c r="N25" s="20" t="s">
        <v>349</v>
      </c>
      <c r="O25" s="18" t="n">
        <v>23.59419151</v>
      </c>
      <c r="P25" s="20" t="n">
        <v>2.48956499</v>
      </c>
      <c r="Q25" s="18" t="n">
        <v>0</v>
      </c>
      <c r="R25" s="20" t="n">
        <v>0</v>
      </c>
      <c r="S25" s="18" t="n">
        <v>0</v>
      </c>
      <c r="T25" s="20" t="n">
        <v>0</v>
      </c>
      <c r="U25" s="18" t="n">
        <v>0</v>
      </c>
      <c r="V25" s="20" t="n">
        <v>0</v>
      </c>
    </row>
    <row r="26" spans="1:22">
      <c r="A26" s="15" t="s">
        <v>368</v>
      </c>
      <c r="B26" s="17" t="n">
        <v>2450</v>
      </c>
      <c r="C26" s="18">
        <f>(2164.0/B26*100)</f>
        <v/>
      </c>
      <c r="D26" s="19" t="n">
        <v>286</v>
      </c>
      <c r="E26" s="18" t="n">
        <v>68.88309138</v>
      </c>
      <c r="F26" s="20" t="n">
        <v>2.67293845</v>
      </c>
      <c r="G26" s="18" t="n">
        <v>0.32502458</v>
      </c>
      <c r="H26" s="20" t="n">
        <v>0.31479727</v>
      </c>
      <c r="I26" s="18" t="n">
        <v>2.87946971</v>
      </c>
      <c r="J26" s="20" t="n">
        <v>0.97019773</v>
      </c>
      <c r="K26" s="18" t="n">
        <v>4.88203834</v>
      </c>
      <c r="L26" s="20" t="n">
        <v>1.17052716</v>
      </c>
      <c r="M26" s="18" t="s">
        <v>349</v>
      </c>
      <c r="N26" s="20" t="s">
        <v>349</v>
      </c>
      <c r="O26" s="18" t="n">
        <v>23.03037599</v>
      </c>
      <c r="P26" s="20" t="n">
        <v>2.51850729</v>
      </c>
      <c r="Q26" s="18" t="n">
        <v>0</v>
      </c>
      <c r="R26" s="20" t="n">
        <v>0</v>
      </c>
      <c r="S26" s="18" t="n">
        <v>0</v>
      </c>
      <c r="T26" s="20" t="n">
        <v>0</v>
      </c>
      <c r="U26" s="18" t="n">
        <v>0</v>
      </c>
      <c r="V26" s="20" t="n">
        <v>0</v>
      </c>
    </row>
    <row r="27" spans="1:22">
      <c r="A27" s="15" t="s">
        <v>369</v>
      </c>
      <c r="B27" s="17" t="n">
        <v>2616</v>
      </c>
      <c r="C27" s="18">
        <f>(2303.0/B27*100)</f>
        <v/>
      </c>
      <c r="D27" s="19" t="n">
        <v>313</v>
      </c>
      <c r="E27" s="18" t="n">
        <v>54.26037419</v>
      </c>
      <c r="F27" s="20" t="n">
        <v>3.09240841</v>
      </c>
      <c r="G27" s="18" t="n">
        <v>1.53650133</v>
      </c>
      <c r="H27" s="20" t="n">
        <v>0.6867576</v>
      </c>
      <c r="I27" s="18" t="n">
        <v>7.86248978</v>
      </c>
      <c r="J27" s="20" t="n">
        <v>1.51306159</v>
      </c>
      <c r="K27" s="18" t="n">
        <v>10.42106588</v>
      </c>
      <c r="L27" s="20" t="n">
        <v>1.8337278</v>
      </c>
      <c r="M27" s="18" t="s">
        <v>349</v>
      </c>
      <c r="N27" s="20" t="s">
        <v>349</v>
      </c>
      <c r="O27" s="18" t="n">
        <v>25.91956882</v>
      </c>
      <c r="P27" s="20" t="n">
        <v>2.64685423</v>
      </c>
      <c r="Q27" s="18" t="n">
        <v>0</v>
      </c>
      <c r="R27" s="20" t="n">
        <v>0</v>
      </c>
      <c r="S27" s="18" t="n">
        <v>0</v>
      </c>
      <c r="T27" s="20" t="n">
        <v>0</v>
      </c>
      <c r="U27" s="18" t="n">
        <v>0</v>
      </c>
      <c r="V27" s="20" t="n">
        <v>0</v>
      </c>
    </row>
    <row r="28" spans="1:22">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row>
    <row r="29" spans="1:22">
      <c r="A29" s="15" t="s">
        <v>371</v>
      </c>
      <c r="B29" s="17" t="n">
        <v>2685</v>
      </c>
      <c r="C29" s="18">
        <f>(2346.0/B29*100)</f>
        <v/>
      </c>
      <c r="D29" s="19" t="n">
        <v>339</v>
      </c>
      <c r="E29" s="18" t="n">
        <v>60.23009897</v>
      </c>
      <c r="F29" s="20" t="n">
        <v>2.75971945</v>
      </c>
      <c r="G29" s="18" t="n">
        <v>3.61933127</v>
      </c>
      <c r="H29" s="20" t="n">
        <v>1.03610827</v>
      </c>
      <c r="I29" s="18" t="n">
        <v>7.40850768</v>
      </c>
      <c r="J29" s="20" t="n">
        <v>1.57484678</v>
      </c>
      <c r="K29" s="18" t="n">
        <v>14.75538668</v>
      </c>
      <c r="L29" s="20" t="n">
        <v>1.93376005</v>
      </c>
      <c r="M29" s="18" t="s">
        <v>349</v>
      </c>
      <c r="N29" s="20" t="s">
        <v>349</v>
      </c>
      <c r="O29" s="18" t="n">
        <v>13.9866754</v>
      </c>
      <c r="P29" s="20" t="n">
        <v>1.80199591</v>
      </c>
      <c r="Q29" s="18" t="n">
        <v>0</v>
      </c>
      <c r="R29" s="20" t="n">
        <v>0</v>
      </c>
      <c r="S29" s="18" t="n">
        <v>0</v>
      </c>
      <c r="T29" s="20" t="n">
        <v>0</v>
      </c>
      <c r="U29" s="18" t="n">
        <v>0</v>
      </c>
      <c r="V29" s="20" t="n">
        <v>0</v>
      </c>
    </row>
    <row r="30" spans="1:22">
      <c r="A30" s="15" t="s">
        <v>372</v>
      </c>
      <c r="B30" s="17" t="n">
        <v>2263</v>
      </c>
      <c r="C30" s="18">
        <f>(2017.0/B30*100)</f>
        <v/>
      </c>
      <c r="D30" s="19" t="n">
        <v>246</v>
      </c>
      <c r="E30" s="18" t="n">
        <v>51.30349535</v>
      </c>
      <c r="F30" s="20" t="n">
        <v>3.85747996</v>
      </c>
      <c r="G30" s="18" t="n">
        <v>3.55893024</v>
      </c>
      <c r="H30" s="20" t="n">
        <v>1.18566178</v>
      </c>
      <c r="I30" s="18" t="n">
        <v>4.51437226</v>
      </c>
      <c r="J30" s="20" t="n">
        <v>1.27935556</v>
      </c>
      <c r="K30" s="18" t="n">
        <v>16.70059796</v>
      </c>
      <c r="L30" s="20" t="n">
        <v>2.49339003</v>
      </c>
      <c r="M30" s="18" t="s">
        <v>349</v>
      </c>
      <c r="N30" s="20" t="s">
        <v>349</v>
      </c>
      <c r="O30" s="18" t="n">
        <v>23.92260419</v>
      </c>
      <c r="P30" s="20" t="n">
        <v>3.066697</v>
      </c>
      <c r="Q30" s="18" t="n">
        <v>0</v>
      </c>
      <c r="R30" s="20" t="n">
        <v>0</v>
      </c>
      <c r="S30" s="18" t="n">
        <v>0</v>
      </c>
      <c r="T30" s="20" t="n">
        <v>0</v>
      </c>
      <c r="U30" s="18" t="n">
        <v>0</v>
      </c>
      <c r="V30" s="20" t="n">
        <v>0</v>
      </c>
    </row>
    <row r="31" spans="1:22">
      <c r="A31" s="15" t="s">
        <v>373</v>
      </c>
      <c r="B31" s="17" t="n">
        <v>2750</v>
      </c>
      <c r="C31" s="18">
        <f>(2407.0/B31*100)</f>
        <v/>
      </c>
      <c r="D31" s="19" t="n">
        <v>343</v>
      </c>
      <c r="E31" s="18" t="n">
        <v>52.94100621</v>
      </c>
      <c r="F31" s="20" t="n">
        <v>2.72611696</v>
      </c>
      <c r="G31" s="18" t="n">
        <v>1.66962784</v>
      </c>
      <c r="H31" s="20" t="n">
        <v>0.77137441</v>
      </c>
      <c r="I31" s="18" t="n">
        <v>3.6693435</v>
      </c>
      <c r="J31" s="20" t="n">
        <v>1.04631413</v>
      </c>
      <c r="K31" s="18" t="n">
        <v>13.51649782</v>
      </c>
      <c r="L31" s="20" t="n">
        <v>1.95775879</v>
      </c>
      <c r="M31" s="18" t="s">
        <v>349</v>
      </c>
      <c r="N31" s="20" t="s">
        <v>349</v>
      </c>
      <c r="O31" s="18" t="n">
        <v>28.20352463</v>
      </c>
      <c r="P31" s="20" t="n">
        <v>2.39022863</v>
      </c>
      <c r="Q31" s="18" t="n">
        <v>0</v>
      </c>
      <c r="R31" s="20" t="n">
        <v>0</v>
      </c>
      <c r="S31" s="18" t="n">
        <v>0</v>
      </c>
      <c r="T31" s="20" t="n">
        <v>0</v>
      </c>
      <c r="U31" s="18" t="n">
        <v>0</v>
      </c>
      <c r="V31" s="20" t="n">
        <v>0</v>
      </c>
    </row>
    <row r="32" spans="1:22">
      <c r="A32" s="15" t="s">
        <v>374</v>
      </c>
      <c r="B32" s="17" t="n">
        <v>2269</v>
      </c>
      <c r="C32" s="18">
        <f>(1903.0/B32*100)</f>
        <v/>
      </c>
      <c r="D32" s="19" t="n">
        <v>366</v>
      </c>
      <c r="E32" s="18" t="n">
        <v>50.85076022</v>
      </c>
      <c r="F32" s="20" t="n">
        <v>2.49937084</v>
      </c>
      <c r="G32" s="18" t="n">
        <v>5.48473684</v>
      </c>
      <c r="H32" s="20" t="n">
        <v>1.32495501</v>
      </c>
      <c r="I32" s="18" t="n">
        <v>6.07636045</v>
      </c>
      <c r="J32" s="20" t="n">
        <v>1.21464736</v>
      </c>
      <c r="K32" s="18" t="n">
        <v>11.87014756</v>
      </c>
      <c r="L32" s="20" t="n">
        <v>1.7596884</v>
      </c>
      <c r="M32" s="18" t="s">
        <v>349</v>
      </c>
      <c r="N32" s="20" t="s">
        <v>349</v>
      </c>
      <c r="O32" s="18" t="n">
        <v>25.71799493</v>
      </c>
      <c r="P32" s="20" t="n">
        <v>2.5539221</v>
      </c>
      <c r="Q32" s="18" t="n">
        <v>0</v>
      </c>
      <c r="R32" s="20" t="n">
        <v>0</v>
      </c>
      <c r="S32" s="18" t="n">
        <v>0</v>
      </c>
      <c r="T32" s="20" t="n">
        <v>0</v>
      </c>
      <c r="U32" s="18" t="n">
        <v>0</v>
      </c>
      <c r="V32" s="20" t="n">
        <v>0</v>
      </c>
    </row>
    <row r="33" spans="1:22">
      <c r="A33" s="15" t="s">
        <v>375</v>
      </c>
      <c r="B33" s="17" t="n">
        <v>3674</v>
      </c>
      <c r="C33" s="18">
        <f>(3258.0/B33*100)</f>
        <v/>
      </c>
      <c r="D33" s="19" t="n">
        <v>416</v>
      </c>
      <c r="E33" s="18" t="n">
        <v>55.4719335</v>
      </c>
      <c r="F33" s="20" t="n">
        <v>2.72200885</v>
      </c>
      <c r="G33" s="18" t="n">
        <v>0.8307516</v>
      </c>
      <c r="H33" s="20" t="n">
        <v>0.55256965</v>
      </c>
      <c r="I33" s="18" t="n">
        <v>6.59286436</v>
      </c>
      <c r="J33" s="20" t="n">
        <v>1.22812101</v>
      </c>
      <c r="K33" s="18" t="n">
        <v>9.880024560000001</v>
      </c>
      <c r="L33" s="20" t="n">
        <v>2.32634608</v>
      </c>
      <c r="M33" s="18" t="s">
        <v>349</v>
      </c>
      <c r="N33" s="20" t="s">
        <v>349</v>
      </c>
      <c r="O33" s="18" t="n">
        <v>27.22442599</v>
      </c>
      <c r="P33" s="20" t="n">
        <v>2.48175058</v>
      </c>
      <c r="Q33" s="18" t="n">
        <v>0</v>
      </c>
      <c r="R33" s="20" t="n">
        <v>0</v>
      </c>
      <c r="S33" s="18" t="n">
        <v>0</v>
      </c>
      <c r="T33" s="20" t="n">
        <v>0</v>
      </c>
      <c r="U33" s="18" t="n">
        <v>0</v>
      </c>
      <c r="V33" s="20" t="n">
        <v>0</v>
      </c>
    </row>
    <row r="34" spans="1:22">
      <c r="A34" s="15" t="s">
        <v>376</v>
      </c>
      <c r="B34" s="17" t="n">
        <v>3315</v>
      </c>
      <c r="C34" s="18">
        <f>(2948.0/B34*100)</f>
        <v/>
      </c>
      <c r="D34" s="19" t="n">
        <v>367</v>
      </c>
      <c r="E34" s="18" t="n">
        <v>69.34272523999999</v>
      </c>
      <c r="F34" s="20" t="n">
        <v>2.32000199</v>
      </c>
      <c r="G34" s="18" t="n">
        <v>0</v>
      </c>
      <c r="H34" s="20" t="n">
        <v>0</v>
      </c>
      <c r="I34" s="18" t="n">
        <v>4.15527129</v>
      </c>
      <c r="J34" s="20" t="n">
        <v>1.03255244</v>
      </c>
      <c r="K34" s="18" t="n">
        <v>7.17076248</v>
      </c>
      <c r="L34" s="20" t="n">
        <v>1.55229846</v>
      </c>
      <c r="M34" s="18" t="s">
        <v>349</v>
      </c>
      <c r="N34" s="20" t="s">
        <v>349</v>
      </c>
      <c r="O34" s="18" t="n">
        <v>19.33124099</v>
      </c>
      <c r="P34" s="20" t="n">
        <v>2.02383224</v>
      </c>
      <c r="Q34" s="18" t="n">
        <v>0</v>
      </c>
      <c r="R34" s="20" t="n">
        <v>0</v>
      </c>
      <c r="S34" s="18" t="n">
        <v>0</v>
      </c>
      <c r="T34" s="20" t="n">
        <v>0</v>
      </c>
      <c r="U34" s="18" t="n">
        <v>0</v>
      </c>
      <c r="V34" s="20" t="n">
        <v>0</v>
      </c>
    </row>
    <row r="35" spans="1:22">
      <c r="A35" s="15" t="s">
        <v>377</v>
      </c>
      <c r="B35" s="17" t="n">
        <v>3505</v>
      </c>
      <c r="C35" s="18">
        <f>(3078.0/B35*100)</f>
        <v/>
      </c>
      <c r="D35" s="19" t="n">
        <v>427</v>
      </c>
      <c r="E35" s="18" t="n">
        <v>55.68083783</v>
      </c>
      <c r="F35" s="20" t="n">
        <v>3.05269026</v>
      </c>
      <c r="G35" s="18" t="n">
        <v>6.35968672</v>
      </c>
      <c r="H35" s="20" t="n">
        <v>1.64857431</v>
      </c>
      <c r="I35" s="18" t="n">
        <v>2.98763837</v>
      </c>
      <c r="J35" s="20" t="n">
        <v>0.99235153</v>
      </c>
      <c r="K35" s="18" t="n">
        <v>9.370933490000001</v>
      </c>
      <c r="L35" s="20" t="n">
        <v>1.72687014</v>
      </c>
      <c r="M35" s="18" t="s">
        <v>349</v>
      </c>
      <c r="N35" s="20" t="s">
        <v>349</v>
      </c>
      <c r="O35" s="18" t="n">
        <v>25.19691912</v>
      </c>
      <c r="P35" s="20" t="n">
        <v>2.86399798</v>
      </c>
      <c r="Q35" s="18" t="n">
        <v>0.40398447</v>
      </c>
      <c r="R35" s="20" t="n">
        <v>0.40541666</v>
      </c>
      <c r="S35" s="18" t="n">
        <v>0</v>
      </c>
      <c r="T35" s="20" t="n">
        <v>0</v>
      </c>
      <c r="U35" s="18" t="n">
        <v>0</v>
      </c>
      <c r="V35" s="20" t="n">
        <v>0</v>
      </c>
    </row>
    <row r="36" spans="1:22">
      <c r="A36" s="15" t="s">
        <v>378</v>
      </c>
      <c r="B36" s="17" t="n">
        <v>3332</v>
      </c>
      <c r="C36" s="18">
        <f>(2938.0/B36*100)</f>
        <v/>
      </c>
      <c r="D36" s="19" t="n">
        <v>394</v>
      </c>
      <c r="E36" s="18" t="n">
        <v>51.27680427</v>
      </c>
      <c r="F36" s="20" t="n">
        <v>2.79833049</v>
      </c>
      <c r="G36" s="18" t="n">
        <v>1.65947709</v>
      </c>
      <c r="H36" s="20" t="n">
        <v>0.5943017</v>
      </c>
      <c r="I36" s="18" t="n">
        <v>8.43254686</v>
      </c>
      <c r="J36" s="20" t="n">
        <v>1.50047672</v>
      </c>
      <c r="K36" s="18" t="n">
        <v>10.63773124</v>
      </c>
      <c r="L36" s="20" t="n">
        <v>1.6428372</v>
      </c>
      <c r="M36" s="18" t="s">
        <v>349</v>
      </c>
      <c r="N36" s="20" t="s">
        <v>349</v>
      </c>
      <c r="O36" s="18" t="n">
        <v>27.99344054</v>
      </c>
      <c r="P36" s="20" t="n">
        <v>2.31731009</v>
      </c>
      <c r="Q36" s="18" t="n">
        <v>0</v>
      </c>
      <c r="R36" s="20" t="n">
        <v>0</v>
      </c>
      <c r="S36" s="18" t="n">
        <v>0</v>
      </c>
      <c r="T36" s="20" t="n">
        <v>0</v>
      </c>
      <c r="U36" s="18" t="n">
        <v>0</v>
      </c>
      <c r="V36" s="20" t="n">
        <v>0</v>
      </c>
    </row>
    <row r="37" spans="1:22">
      <c r="A37" s="15" t="s">
        <v>379</v>
      </c>
      <c r="B37" s="17" t="n">
        <v>2727</v>
      </c>
      <c r="C37" s="18">
        <f>(2421.0/B37*100)</f>
        <v/>
      </c>
      <c r="D37" s="19" t="n">
        <v>306</v>
      </c>
      <c r="E37" s="18" t="n">
        <v>50.6506961</v>
      </c>
      <c r="F37" s="20" t="n">
        <v>2.93552448</v>
      </c>
      <c r="G37" s="18" t="n">
        <v>0</v>
      </c>
      <c r="H37" s="20" t="n">
        <v>0</v>
      </c>
      <c r="I37" s="18" t="n">
        <v>4.80200432</v>
      </c>
      <c r="J37" s="20" t="n">
        <v>1.24402501</v>
      </c>
      <c r="K37" s="18" t="n">
        <v>8.435754080000001</v>
      </c>
      <c r="L37" s="20" t="n">
        <v>1.7010911</v>
      </c>
      <c r="M37" s="18" t="s">
        <v>349</v>
      </c>
      <c r="N37" s="20" t="s">
        <v>349</v>
      </c>
      <c r="O37" s="18" t="n">
        <v>36.1115455</v>
      </c>
      <c r="P37" s="20" t="n">
        <v>3.19198495</v>
      </c>
      <c r="Q37" s="18" t="n">
        <v>0</v>
      </c>
      <c r="R37" s="20" t="n">
        <v>0</v>
      </c>
      <c r="S37" s="18" t="n">
        <v>0</v>
      </c>
      <c r="T37" s="20" t="n">
        <v>0</v>
      </c>
      <c r="U37" s="18" t="n">
        <v>0</v>
      </c>
      <c r="V37" s="20" t="n">
        <v>0</v>
      </c>
    </row>
    <row r="38" spans="1:22">
      <c r="A38" s="15" t="s">
        <v>380</v>
      </c>
      <c r="B38" s="17" t="n">
        <v>3053</v>
      </c>
      <c r="C38" s="18">
        <f>(2559.0/B38*100)</f>
        <v/>
      </c>
      <c r="D38" s="19" t="n">
        <v>494</v>
      </c>
      <c r="E38" s="18" t="n">
        <v>45.07119671</v>
      </c>
      <c r="F38" s="20" t="n">
        <v>2.5004117</v>
      </c>
      <c r="G38" s="18" t="n">
        <v>3.60020042</v>
      </c>
      <c r="H38" s="20" t="n">
        <v>0.96952607</v>
      </c>
      <c r="I38" s="18" t="n">
        <v>10.35534618</v>
      </c>
      <c r="J38" s="20" t="n">
        <v>1.57377427</v>
      </c>
      <c r="K38" s="18" t="n">
        <v>15.83161371</v>
      </c>
      <c r="L38" s="20" t="n">
        <v>1.84143987</v>
      </c>
      <c r="M38" s="18" t="s">
        <v>349</v>
      </c>
      <c r="N38" s="20" t="s">
        <v>349</v>
      </c>
      <c r="O38" s="18" t="n">
        <v>24.87406184</v>
      </c>
      <c r="P38" s="20" t="n">
        <v>2.32601455</v>
      </c>
      <c r="Q38" s="18" t="n">
        <v>0.26758114</v>
      </c>
      <c r="R38" s="20" t="n">
        <v>0.26645455</v>
      </c>
      <c r="S38" s="18" t="n">
        <v>0</v>
      </c>
      <c r="T38" s="20" t="n">
        <v>0</v>
      </c>
      <c r="U38" s="18" t="n">
        <v>0</v>
      </c>
      <c r="V38" s="20" t="n">
        <v>0</v>
      </c>
    </row>
    <row r="39" spans="1:22">
      <c r="A39" s="15" t="s">
        <v>381</v>
      </c>
      <c r="B39" s="17" t="n">
        <v>2957</v>
      </c>
      <c r="C39" s="18">
        <f>(2581.0/B39*100)</f>
        <v/>
      </c>
      <c r="D39" s="19" t="n">
        <v>376</v>
      </c>
      <c r="E39" s="18" t="n">
        <v>76.46935891</v>
      </c>
      <c r="F39" s="20" t="n">
        <v>2.29459851</v>
      </c>
      <c r="G39" s="18" t="n">
        <v>0.26211774</v>
      </c>
      <c r="H39" s="20" t="n">
        <v>0.26353076</v>
      </c>
      <c r="I39" s="18" t="n">
        <v>1.91599939</v>
      </c>
      <c r="J39" s="20" t="n">
        <v>0.77749977</v>
      </c>
      <c r="K39" s="18" t="n">
        <v>1.84722447</v>
      </c>
      <c r="L39" s="20" t="n">
        <v>0.90871006</v>
      </c>
      <c r="M39" s="18" t="s">
        <v>349</v>
      </c>
      <c r="N39" s="20" t="s">
        <v>349</v>
      </c>
      <c r="O39" s="18" t="n">
        <v>19.50529948</v>
      </c>
      <c r="P39" s="20" t="n">
        <v>2.05427145</v>
      </c>
      <c r="Q39" s="18" t="n">
        <v>0</v>
      </c>
      <c r="R39" s="20" t="n">
        <v>0</v>
      </c>
      <c r="S39" s="18" t="n">
        <v>0</v>
      </c>
      <c r="T39" s="20" t="n">
        <v>0</v>
      </c>
      <c r="U39" s="18" t="n">
        <v>0</v>
      </c>
      <c r="V39" s="20" t="n">
        <v>0</v>
      </c>
    </row>
    <row r="40" spans="1:22">
      <c r="A40" s="15" t="s">
        <v>382</v>
      </c>
      <c r="B40" s="17" t="n">
        <v>7235</v>
      </c>
      <c r="C40" s="18">
        <f>(6373.0/B40*100)</f>
        <v/>
      </c>
      <c r="D40" s="19" t="n">
        <v>862</v>
      </c>
      <c r="E40" s="18" t="n">
        <v>57.56686123</v>
      </c>
      <c r="F40" s="20" t="n">
        <v>2.88150656</v>
      </c>
      <c r="G40" s="18" t="n">
        <v>1.68628352</v>
      </c>
      <c r="H40" s="20" t="n">
        <v>0.60868697</v>
      </c>
      <c r="I40" s="18" t="n">
        <v>4.34917838</v>
      </c>
      <c r="J40" s="20" t="n">
        <v>1.10636168</v>
      </c>
      <c r="K40" s="18" t="n">
        <v>16.44608787</v>
      </c>
      <c r="L40" s="20" t="n">
        <v>1.75531972</v>
      </c>
      <c r="M40" s="18" t="s">
        <v>349</v>
      </c>
      <c r="N40" s="20" t="s">
        <v>349</v>
      </c>
      <c r="O40" s="18" t="n">
        <v>19.951589</v>
      </c>
      <c r="P40" s="20" t="n">
        <v>2.17369402</v>
      </c>
      <c r="Q40" s="18" t="n">
        <v>0</v>
      </c>
      <c r="R40" s="20" t="n">
        <v>0</v>
      </c>
      <c r="S40" s="18" t="n">
        <v>0</v>
      </c>
      <c r="T40" s="20" t="n">
        <v>0</v>
      </c>
      <c r="U40" s="18" t="n">
        <v>0</v>
      </c>
      <c r="V40" s="20" t="n">
        <v>0</v>
      </c>
    </row>
    <row r="41" spans="1:22">
      <c r="A41" s="15" t="s">
        <v>383</v>
      </c>
      <c r="B41" s="17" t="n">
        <v>2858</v>
      </c>
      <c r="C41" s="18">
        <f>(2540.0/B41*100)</f>
        <v/>
      </c>
      <c r="D41" s="19" t="n">
        <v>318</v>
      </c>
      <c r="E41" s="18" t="n">
        <v>71.19027014</v>
      </c>
      <c r="F41" s="20" t="n">
        <v>3.05010693</v>
      </c>
      <c r="G41" s="18" t="n">
        <v>2.4513393</v>
      </c>
      <c r="H41" s="20" t="n">
        <v>0.85913622</v>
      </c>
      <c r="I41" s="18" t="n">
        <v>4.67901416</v>
      </c>
      <c r="J41" s="20" t="n">
        <v>1.2225791</v>
      </c>
      <c r="K41" s="18" t="n">
        <v>11.51036281</v>
      </c>
      <c r="L41" s="20" t="n">
        <v>1.7679586</v>
      </c>
      <c r="M41" s="18" t="s">
        <v>349</v>
      </c>
      <c r="N41" s="20" t="s">
        <v>349</v>
      </c>
      <c r="O41" s="18" t="n">
        <v>10.16901359</v>
      </c>
      <c r="P41" s="20" t="n">
        <v>2.12459201</v>
      </c>
      <c r="Q41" s="18" t="n">
        <v>0</v>
      </c>
      <c r="R41" s="20" t="n">
        <v>0</v>
      </c>
      <c r="S41" s="18" t="n">
        <v>0</v>
      </c>
      <c r="T41" s="20" t="n">
        <v>0</v>
      </c>
      <c r="U41" s="18" t="n">
        <v>0</v>
      </c>
      <c r="V41" s="20" t="n">
        <v>0</v>
      </c>
    </row>
    <row r="42" spans="1:22">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row>
    <row r="45" spans="1:22">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row>
    <row r="46" spans="1:22">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row>
    <row r="47" spans="1:22">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row>
    <row r="48" spans="1:22">
      <c r="A48" s="15" t="s">
        <v>390</v>
      </c>
      <c r="B48" s="17" t="n">
        <v>5159</v>
      </c>
      <c r="C48" s="18">
        <f>(4512.0/B48*100)</f>
        <v/>
      </c>
      <c r="D48" s="19" t="n">
        <v>647</v>
      </c>
      <c r="E48" s="18" t="n">
        <v>50.84725913</v>
      </c>
      <c r="F48" s="20" t="n">
        <v>2.88422919</v>
      </c>
      <c r="G48" s="18" t="n">
        <v>1.02536324</v>
      </c>
      <c r="H48" s="20" t="n">
        <v>0.38585133</v>
      </c>
      <c r="I48" s="18" t="n">
        <v>12.75503098</v>
      </c>
      <c r="J48" s="20" t="n">
        <v>1.51479856</v>
      </c>
      <c r="K48" s="18" t="n">
        <v>27.05074404</v>
      </c>
      <c r="L48" s="20" t="n">
        <v>2.62137614</v>
      </c>
      <c r="M48" s="18" t="s">
        <v>349</v>
      </c>
      <c r="N48" s="20" t="s">
        <v>349</v>
      </c>
      <c r="O48" s="18" t="n">
        <v>8.32160262</v>
      </c>
      <c r="P48" s="20" t="n">
        <v>1.49804532</v>
      </c>
      <c r="Q48" s="18" t="n">
        <v>0</v>
      </c>
      <c r="R48" s="20" t="n">
        <v>0</v>
      </c>
      <c r="S48" s="18" t="n">
        <v>0</v>
      </c>
      <c r="T48" s="20" t="n">
        <v>0</v>
      </c>
      <c r="U48" s="18" t="n">
        <v>0</v>
      </c>
      <c r="V48" s="20" t="n">
        <v>0</v>
      </c>
    </row>
    <row r="49" spans="1:22">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row>
    <row r="50" spans="1:22">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row>
    <row r="51" spans="1:22">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row>
    <row r="52" spans="1:22">
      <c r="A52" s="15" t="s">
        <v>394</v>
      </c>
      <c r="B52" s="17" t="n">
        <v>2796</v>
      </c>
      <c r="C52" s="18">
        <f>(2469.0/B52*100)</f>
        <v/>
      </c>
      <c r="D52" s="19" t="n">
        <v>327</v>
      </c>
      <c r="E52" s="18" t="n">
        <v>53.17631999</v>
      </c>
      <c r="F52" s="20" t="n">
        <v>2.96574132</v>
      </c>
      <c r="G52" s="18" t="n">
        <v>1.11462573</v>
      </c>
      <c r="H52" s="20" t="n">
        <v>0.55645732</v>
      </c>
      <c r="I52" s="18" t="n">
        <v>4.28040056</v>
      </c>
      <c r="J52" s="20" t="n">
        <v>1.20294559</v>
      </c>
      <c r="K52" s="18" t="n">
        <v>7.50139206</v>
      </c>
      <c r="L52" s="20" t="n">
        <v>1.31948641</v>
      </c>
      <c r="M52" s="18" t="s">
        <v>349</v>
      </c>
      <c r="N52" s="20" t="s">
        <v>349</v>
      </c>
      <c r="O52" s="18" t="n">
        <v>33.92726167</v>
      </c>
      <c r="P52" s="20" t="n">
        <v>2.8214439</v>
      </c>
      <c r="Q52" s="18" t="n">
        <v>0</v>
      </c>
      <c r="R52" s="20" t="n">
        <v>0</v>
      </c>
      <c r="S52" s="18" t="n">
        <v>0</v>
      </c>
      <c r="T52" s="20" t="n">
        <v>0</v>
      </c>
      <c r="U52" s="18" t="n">
        <v>0</v>
      </c>
      <c r="V52" s="20" t="n">
        <v>0</v>
      </c>
    </row>
    <row r="53" spans="1:22">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row>
    <row r="54" spans="1:22">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row>
    <row r="55" spans="1:22">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row>
    <row r="56" spans="1:22">
      <c r="A56" s="15" t="s">
        <v>398</v>
      </c>
      <c r="B56" s="17" t="n">
        <v>2684</v>
      </c>
      <c r="C56" s="18">
        <f>(2346.0/B56*100)</f>
        <v/>
      </c>
      <c r="D56" s="19" t="n">
        <v>338</v>
      </c>
      <c r="E56" s="18" t="n">
        <v>45.65444993</v>
      </c>
      <c r="F56" s="20" t="n">
        <v>2.51754946</v>
      </c>
      <c r="G56" s="18" t="n">
        <v>8.10626214</v>
      </c>
      <c r="H56" s="20" t="n">
        <v>1.4680251</v>
      </c>
      <c r="I56" s="18" t="n">
        <v>10.65353912</v>
      </c>
      <c r="J56" s="20" t="n">
        <v>1.71632521</v>
      </c>
      <c r="K56" s="18" t="n">
        <v>22.63496529</v>
      </c>
      <c r="L56" s="20" t="n">
        <v>1.98120984</v>
      </c>
      <c r="M56" s="18" t="s">
        <v>349</v>
      </c>
      <c r="N56" s="20" t="s">
        <v>349</v>
      </c>
      <c r="O56" s="18" t="n">
        <v>12.95078352</v>
      </c>
      <c r="P56" s="20" t="n">
        <v>2.75987424</v>
      </c>
      <c r="Q56" s="18" t="n">
        <v>0</v>
      </c>
      <c r="R56" s="20" t="n">
        <v>0</v>
      </c>
      <c r="S56" s="18" t="n">
        <v>0</v>
      </c>
      <c r="T56" s="20" t="n">
        <v>0</v>
      </c>
      <c r="U56" s="18" t="n">
        <v>0</v>
      </c>
      <c r="V56" s="20" t="n">
        <v>0</v>
      </c>
    </row>
    <row r="57" spans="1:22">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row>
    <row r="58" spans="1:22">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row>
    <row r="59" spans="1:22">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row>
    <row r="60" spans="1:22">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row>
    <row r="61" spans="1:22">
      <c r="A61" s="15" t="s">
        <v>403</v>
      </c>
      <c r="B61" s="17" t="n">
        <v>3324</v>
      </c>
      <c r="C61" s="18">
        <f>(2890.0/B61*100)</f>
        <v/>
      </c>
      <c r="D61" s="19" t="n">
        <v>434</v>
      </c>
      <c r="E61" s="18" t="n">
        <v>61.87617442</v>
      </c>
      <c r="F61" s="20" t="n">
        <v>2.43892802</v>
      </c>
      <c r="G61" s="18" t="n">
        <v>1.33816786</v>
      </c>
      <c r="H61" s="20" t="n">
        <v>0.65367695</v>
      </c>
      <c r="I61" s="18" t="n">
        <v>5.70006956</v>
      </c>
      <c r="J61" s="20" t="n">
        <v>1.22316272</v>
      </c>
      <c r="K61" s="18" t="n">
        <v>7.46242148</v>
      </c>
      <c r="L61" s="20" t="n">
        <v>1.58370626</v>
      </c>
      <c r="M61" s="18" t="s">
        <v>349</v>
      </c>
      <c r="N61" s="20" t="s">
        <v>349</v>
      </c>
      <c r="O61" s="18" t="n">
        <v>23.62316668</v>
      </c>
      <c r="P61" s="20" t="n">
        <v>2.02005124</v>
      </c>
      <c r="Q61" s="18" t="n">
        <v>0</v>
      </c>
      <c r="R61" s="20" t="n">
        <v>0</v>
      </c>
      <c r="S61" s="18" t="n">
        <v>0</v>
      </c>
      <c r="T61" s="20" t="n">
        <v>0</v>
      </c>
      <c r="U61" s="18" t="n">
        <v>0</v>
      </c>
      <c r="V61" s="20" t="n">
        <v>0</v>
      </c>
    </row>
    <row r="62" spans="1:22">
      <c r="A62" s="15" t="s">
        <v>404</v>
      </c>
      <c r="B62" s="17" t="n">
        <v>2246</v>
      </c>
      <c r="C62" s="18">
        <f>(1981.0/B62*100)</f>
        <v/>
      </c>
      <c r="D62" s="19" t="n">
        <v>265</v>
      </c>
      <c r="E62" s="18" t="n">
        <v>62.27339057</v>
      </c>
      <c r="F62" s="20" t="n">
        <v>2.88048975</v>
      </c>
      <c r="G62" s="18" t="n">
        <v>1.12385264</v>
      </c>
      <c r="H62" s="20" t="n">
        <v>0.64148731</v>
      </c>
      <c r="I62" s="18" t="n">
        <v>9.74005625</v>
      </c>
      <c r="J62" s="20" t="n">
        <v>2.0389331</v>
      </c>
      <c r="K62" s="18" t="n">
        <v>18.91543649</v>
      </c>
      <c r="L62" s="20" t="n">
        <v>2.38302464</v>
      </c>
      <c r="M62" s="18" t="s">
        <v>349</v>
      </c>
      <c r="N62" s="20" t="s">
        <v>349</v>
      </c>
      <c r="O62" s="18" t="n">
        <v>7.94726404</v>
      </c>
      <c r="P62" s="20" t="n">
        <v>1.67502737</v>
      </c>
      <c r="Q62" s="18" t="n">
        <v>0</v>
      </c>
      <c r="R62" s="20" t="n">
        <v>0</v>
      </c>
      <c r="S62" s="18" t="n">
        <v>0</v>
      </c>
      <c r="T62" s="20" t="n">
        <v>0</v>
      </c>
      <c r="U62" s="18" t="n">
        <v>0</v>
      </c>
      <c r="V62" s="20" t="n">
        <v>0</v>
      </c>
    </row>
    <row r="63" spans="1:22">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row>
    <row r="64" spans="1:22">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row>
    <row r="65" spans="1:22">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row>
    <row r="66" spans="1:22">
      <c r="A66" s="15" t="s">
        <v>408</v>
      </c>
      <c r="B66" s="17" t="n">
        <v>2894</v>
      </c>
      <c r="C66" s="18">
        <f>(2534.0/B66*100)</f>
        <v/>
      </c>
      <c r="D66" s="19" t="n">
        <v>360</v>
      </c>
      <c r="E66" s="18" t="n">
        <v>48.92051903</v>
      </c>
      <c r="F66" s="20" t="n">
        <v>2.2967142</v>
      </c>
      <c r="G66" s="18" t="n">
        <v>0</v>
      </c>
      <c r="H66" s="20" t="n">
        <v>0</v>
      </c>
      <c r="I66" s="18" t="n">
        <v>2.66601324</v>
      </c>
      <c r="J66" s="20" t="n">
        <v>0.88823478</v>
      </c>
      <c r="K66" s="18" t="n">
        <v>5.62748409</v>
      </c>
      <c r="L66" s="20" t="n">
        <v>1.34754839</v>
      </c>
      <c r="M66" s="18" t="s">
        <v>349</v>
      </c>
      <c r="N66" s="20" t="s">
        <v>349</v>
      </c>
      <c r="O66" s="18" t="n">
        <v>42.78598363</v>
      </c>
      <c r="P66" s="20" t="n">
        <v>2.65184146</v>
      </c>
      <c r="Q66" s="18" t="n">
        <v>0</v>
      </c>
      <c r="R66" s="20" t="n">
        <v>0</v>
      </c>
      <c r="S66" s="18" t="n">
        <v>0</v>
      </c>
      <c r="T66" s="20" t="n">
        <v>0</v>
      </c>
      <c r="U66" s="18" t="n">
        <v>0</v>
      </c>
      <c r="V66" s="20" t="n">
        <v>0</v>
      </c>
    </row>
    <row r="67" spans="1:22">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row>
    <row r="68" spans="1:22">
      <c r="A68" s="15" t="s">
        <v>410</v>
      </c>
      <c r="B68" s="17" t="n">
        <v>6049</v>
      </c>
      <c r="C68" s="18">
        <f>(5030.0/B68*100)</f>
        <v/>
      </c>
      <c r="D68" s="19" t="n">
        <v>1019</v>
      </c>
      <c r="E68" s="18" t="n">
        <v>67.51874486</v>
      </c>
      <c r="F68" s="20" t="n">
        <v>1.35146091</v>
      </c>
      <c r="G68" s="18" t="n">
        <v>0.31179396</v>
      </c>
      <c r="H68" s="20" t="n">
        <v>0.18160972</v>
      </c>
      <c r="I68" s="18" t="n">
        <v>3.15643214</v>
      </c>
      <c r="J68" s="20" t="n">
        <v>0.62976899</v>
      </c>
      <c r="K68" s="18" t="n">
        <v>3.68041633</v>
      </c>
      <c r="L68" s="20" t="n">
        <v>0.55483614</v>
      </c>
      <c r="M68" s="18" t="s">
        <v>349</v>
      </c>
      <c r="N68" s="20" t="s">
        <v>349</v>
      </c>
      <c r="O68" s="18" t="n">
        <v>25.33261271</v>
      </c>
      <c r="P68" s="20" t="n">
        <v>1.28984269</v>
      </c>
      <c r="Q68" s="18" t="n">
        <v>0</v>
      </c>
      <c r="R68" s="20" t="n">
        <v>0</v>
      </c>
      <c r="S68" s="18" t="n">
        <v>0</v>
      </c>
      <c r="T68" s="20" t="n">
        <v>0</v>
      </c>
      <c r="U68" s="18" t="n">
        <v>0</v>
      </c>
      <c r="V68" s="20" t="n">
        <v>0</v>
      </c>
    </row>
    <row r="69" spans="1:22">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row>
    <row r="70" spans="1:22">
      <c r="A70" s="15" t="s">
        <v>412</v>
      </c>
      <c r="B70" s="17" t="n">
        <v>2929</v>
      </c>
      <c r="C70" s="18">
        <f>(2579.0/B70*100)</f>
        <v/>
      </c>
      <c r="D70" s="19" t="n">
        <v>350</v>
      </c>
      <c r="E70" s="18" t="n">
        <v>64.12469402000001</v>
      </c>
      <c r="F70" s="20" t="n">
        <v>2.89588912</v>
      </c>
      <c r="G70" s="18" t="n">
        <v>1.35444198</v>
      </c>
      <c r="H70" s="20" t="n">
        <v>1.15317456</v>
      </c>
      <c r="I70" s="18" t="n">
        <v>2.74340524</v>
      </c>
      <c r="J70" s="20" t="n">
        <v>1.35938905</v>
      </c>
      <c r="K70" s="18" t="n">
        <v>6.29954375</v>
      </c>
      <c r="L70" s="20" t="n">
        <v>1.3484079</v>
      </c>
      <c r="M70" s="18" t="s">
        <v>349</v>
      </c>
      <c r="N70" s="20" t="s">
        <v>349</v>
      </c>
      <c r="O70" s="18" t="n">
        <v>24.34812464</v>
      </c>
      <c r="P70" s="20" t="n">
        <v>3.21379273</v>
      </c>
      <c r="Q70" s="18" t="n">
        <v>1.12979037</v>
      </c>
      <c r="R70" s="20" t="n">
        <v>0.5336116400000001</v>
      </c>
      <c r="S70" s="18" t="n">
        <v>0</v>
      </c>
      <c r="T70" s="20" t="n">
        <v>0</v>
      </c>
      <c r="U70" s="18" t="n">
        <v>0</v>
      </c>
      <c r="V70" s="20" t="n">
        <v>0</v>
      </c>
    </row>
    <row r="71" spans="1:22">
      <c r="A71" s="15" t="s">
        <v>413</v>
      </c>
      <c r="B71" s="17" t="n">
        <v>3142</v>
      </c>
      <c r="C71" s="18">
        <f>(2755.0/B71*100)</f>
        <v/>
      </c>
      <c r="D71" s="19" t="n">
        <v>387</v>
      </c>
      <c r="E71" s="18" t="n">
        <v>50.3231655</v>
      </c>
      <c r="F71" s="20" t="n">
        <v>3.01933885</v>
      </c>
      <c r="G71" s="18" t="n">
        <v>1.01446877</v>
      </c>
      <c r="H71" s="20" t="n">
        <v>0.51995072</v>
      </c>
      <c r="I71" s="18" t="n">
        <v>14.18836589</v>
      </c>
      <c r="J71" s="20" t="n">
        <v>1.58122988</v>
      </c>
      <c r="K71" s="18" t="n">
        <v>28.54995432</v>
      </c>
      <c r="L71" s="20" t="n">
        <v>3.09185009</v>
      </c>
      <c r="M71" s="18" t="s">
        <v>349</v>
      </c>
      <c r="N71" s="20" t="s">
        <v>349</v>
      </c>
      <c r="O71" s="18" t="n">
        <v>5.92404553</v>
      </c>
      <c r="P71" s="20" t="n">
        <v>1.43432116</v>
      </c>
      <c r="Q71" s="18" t="n">
        <v>0</v>
      </c>
      <c r="R71" s="20" t="n">
        <v>0</v>
      </c>
      <c r="S71" s="18" t="n">
        <v>0</v>
      </c>
      <c r="T71" s="20" t="n">
        <v>0</v>
      </c>
      <c r="U71" s="18" t="n">
        <v>0</v>
      </c>
      <c r="V71" s="20" t="n">
        <v>0</v>
      </c>
    </row>
    <row r="72" spans="1:22">
      <c r="A72" s="15" t="s">
        <v>414</v>
      </c>
      <c r="B72" s="17" t="n">
        <v>3889</v>
      </c>
      <c r="C72" s="18">
        <f>(3416.0/B72*100)</f>
        <v/>
      </c>
      <c r="D72" s="19" t="n">
        <v>473</v>
      </c>
      <c r="E72" s="18" t="n">
        <v>49.32012653</v>
      </c>
      <c r="F72" s="20" t="n">
        <v>2.69193114</v>
      </c>
      <c r="G72" s="18" t="n">
        <v>1.23855677</v>
      </c>
      <c r="H72" s="20" t="n">
        <v>0.49027039</v>
      </c>
      <c r="I72" s="18" t="n">
        <v>13.33159228</v>
      </c>
      <c r="J72" s="20" t="n">
        <v>1.51818406</v>
      </c>
      <c r="K72" s="18" t="n">
        <v>25.79398079</v>
      </c>
      <c r="L72" s="20" t="n">
        <v>2.45537757</v>
      </c>
      <c r="M72" s="18" t="s">
        <v>349</v>
      </c>
      <c r="N72" s="20" t="s">
        <v>349</v>
      </c>
      <c r="O72" s="18" t="n">
        <v>10.31574362</v>
      </c>
      <c r="P72" s="20" t="n">
        <v>1.38190195</v>
      </c>
      <c r="Q72" s="18" t="n">
        <v>0</v>
      </c>
      <c r="R72" s="20" t="n">
        <v>0</v>
      </c>
      <c r="S72" s="18" t="n">
        <v>0</v>
      </c>
      <c r="T72" s="20" t="n">
        <v>0</v>
      </c>
      <c r="U72" s="18" t="n">
        <v>0</v>
      </c>
      <c r="V72" s="20" t="n">
        <v>0</v>
      </c>
    </row>
    <row r="73" spans="1:22">
      <c r="A73" s="15" t="s">
        <v>415</v>
      </c>
      <c r="B73" s="17" t="n">
        <v>3597</v>
      </c>
      <c r="C73" s="18">
        <f>(3155.0/B73*100)</f>
        <v/>
      </c>
      <c r="D73" s="19" t="n">
        <v>442</v>
      </c>
      <c r="E73" s="18" t="n">
        <v>91.65885084</v>
      </c>
      <c r="F73" s="20" t="n">
        <v>1.56287552</v>
      </c>
      <c r="G73" s="18" t="n">
        <v>0.6270604</v>
      </c>
      <c r="H73" s="20" t="n">
        <v>0.4587872</v>
      </c>
      <c r="I73" s="18" t="n">
        <v>1.94664422</v>
      </c>
      <c r="J73" s="20" t="n">
        <v>0.8375982</v>
      </c>
      <c r="K73" s="18" t="n">
        <v>1.38179178</v>
      </c>
      <c r="L73" s="20" t="n">
        <v>0.73400119</v>
      </c>
      <c r="M73" s="18" t="s">
        <v>349</v>
      </c>
      <c r="N73" s="20" t="s">
        <v>349</v>
      </c>
      <c r="O73" s="18" t="n">
        <v>4.38565276</v>
      </c>
      <c r="P73" s="20" t="n">
        <v>1.22841337</v>
      </c>
      <c r="Q73" s="18" t="n">
        <v>0</v>
      </c>
      <c r="R73" s="20" t="n">
        <v>0</v>
      </c>
      <c r="S73" s="18" t="n">
        <v>0</v>
      </c>
      <c r="T73" s="20" t="n">
        <v>0</v>
      </c>
      <c r="U73" s="18" t="n">
        <v>0</v>
      </c>
      <c r="V73" s="20" t="n">
        <v>0</v>
      </c>
    </row>
    <row r="74" spans="1:22">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row>
    <row r="75" spans="1:22">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row>
    <row r="76" spans="1:22">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row>
    <row r="77" spans="1:22">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row>
    <row r="78" spans="1:22">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row>
    <row customHeight="1" ht="25" r="79" spans="1:22">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row>
    <row r="80" spans="1:22">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row>
    <row r="81" spans="1:22">
      <c r="A81" s="21" t="s">
        <v>423</v>
      </c>
      <c r="B81" s="17" t="n">
        <v>4163</v>
      </c>
      <c r="C81" s="18">
        <f>(3650.0/B81*100)</f>
        <v/>
      </c>
      <c r="D81" s="19" t="n">
        <v>513</v>
      </c>
      <c r="E81" s="18" t="n">
        <v>82.02298059</v>
      </c>
      <c r="F81" s="20" t="n">
        <v>2.17403578</v>
      </c>
      <c r="G81" s="18" t="n">
        <v>0.35087476</v>
      </c>
      <c r="H81" s="20" t="n">
        <v>0.32255371</v>
      </c>
      <c r="I81" s="18" t="n">
        <v>6.32553601</v>
      </c>
      <c r="J81" s="20" t="n">
        <v>1.03297387</v>
      </c>
      <c r="K81" s="18" t="n">
        <v>2.7822766</v>
      </c>
      <c r="L81" s="20" t="n">
        <v>0.69493983</v>
      </c>
      <c r="M81" s="18" t="s">
        <v>349</v>
      </c>
      <c r="N81" s="20" t="s">
        <v>349</v>
      </c>
      <c r="O81" s="18" t="n">
        <v>7.68189483</v>
      </c>
      <c r="P81" s="20" t="n">
        <v>1.62581649</v>
      </c>
      <c r="Q81" s="18" t="n">
        <v>0.83643722</v>
      </c>
      <c r="R81" s="20" t="n">
        <v>0.4901355</v>
      </c>
      <c r="S81" s="18" t="n">
        <v>0</v>
      </c>
      <c r="T81" s="20" t="n">
        <v>0</v>
      </c>
      <c r="U81" s="18" t="n">
        <v>0</v>
      </c>
      <c r="V81" s="20" t="n">
        <v>0</v>
      </c>
    </row>
    <row r="82" spans="1:22">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row>
    <row r="83" spans="1:22">
      <c r="A83" s="3" t="s">
        <v>425</v>
      </c>
    </row>
    <row r="84" spans="1:22">
      <c r="A84" s="23" t="s">
        <v>426</v>
      </c>
    </row>
    <row r="85" spans="1:22">
      <c r="A85" s="23" t="s">
        <v>427</v>
      </c>
    </row>
    <row customHeight="1" ht="30" r="86" spans="1:22">
      <c r="A86" s="23" t="s">
        <v>428</v>
      </c>
    </row>
    <row customHeight="1" ht="30" r="87" spans="1:22">
      <c r="A87" s="23" t="s">
        <v>424</v>
      </c>
    </row>
    <row customHeight="1" ht="30" r="88" spans="1:22">
      <c r="A88" s="23" t="s">
        <v>429</v>
      </c>
    </row>
    <row customHeight="1" ht="30" r="89" spans="1:22">
      <c r="A89" s="23" t="s">
        <v>430</v>
      </c>
    </row>
    <row customHeight="1" ht="30" r="90" spans="1:22">
      <c r="A90" s="23" t="s">
        <v>431</v>
      </c>
    </row>
    <row customHeight="1" ht="30" r="91" spans="1:22">
      <c r="A91" s="23" t="s">
        <v>432</v>
      </c>
    </row>
    <row customHeight="1" ht="30" r="92" spans="1:22">
      <c r="A92" s="23" t="s">
        <v>433</v>
      </c>
    </row>
    <row customHeight="1" ht="30" r="93" spans="1:22">
      <c r="A93" s="23" t="s">
        <v>434</v>
      </c>
    </row>
    <row customHeight="1" ht="30" r="94" spans="1:22">
      <c r="A94" s="23" t="s">
        <v>435</v>
      </c>
    </row>
    <row customHeight="1" ht="30" r="95" spans="1:22">
      <c r="A95" s="23" t="s">
        <v>436</v>
      </c>
    </row>
    <row customHeight="1" ht="30" r="96" spans="1:22">
      <c r="A96" s="23" t="s">
        <v>437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(3117.0/B11*100)</f>
        <v/>
      </c>
      <c r="D11" s="19" t="n">
        <v>436</v>
      </c>
      <c r="E11" s="18" t="n">
        <v>12.79440363</v>
      </c>
      <c r="F11" s="20" t="n">
        <v>2.10921763</v>
      </c>
      <c r="G11" s="18" t="n">
        <v>86.3213117</v>
      </c>
      <c r="H11" s="20" t="n">
        <v>2.18741126</v>
      </c>
      <c r="I11" s="18" t="s">
        <v>349</v>
      </c>
      <c r="J11" s="20" t="s">
        <v>349</v>
      </c>
      <c r="K11" s="18" t="n">
        <v>0.68193103</v>
      </c>
      <c r="L11" s="20" t="n">
        <v>0.68508681</v>
      </c>
      <c r="M11" s="18" t="n">
        <v>0</v>
      </c>
      <c r="N11" s="20" t="n">
        <v>0</v>
      </c>
      <c r="O11" s="18" t="n">
        <v>0</v>
      </c>
      <c r="P11" s="20" t="n">
        <v>0</v>
      </c>
      <c r="Q11" s="18" t="n">
        <v>0.20235363</v>
      </c>
      <c r="R11" s="20" t="n">
        <v>0.14527577</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(3294.0/B28*100)</f>
        <v/>
      </c>
      <c r="D28" s="19" t="n">
        <v>471</v>
      </c>
      <c r="E28" s="18" t="n">
        <v>19.96398149</v>
      </c>
      <c r="F28" s="20" t="n">
        <v>2.15212828</v>
      </c>
      <c r="G28" s="18" t="n">
        <v>79.87609196</v>
      </c>
      <c r="H28" s="20" t="n">
        <v>2.15655092</v>
      </c>
      <c r="I28" s="18" t="s">
        <v>349</v>
      </c>
      <c r="J28" s="20" t="s">
        <v>349</v>
      </c>
      <c r="K28" s="18" t="n">
        <v>0</v>
      </c>
      <c r="L28" s="20" t="n">
        <v>0</v>
      </c>
      <c r="M28" s="18" t="n">
        <v>0</v>
      </c>
      <c r="N28" s="20" t="n">
        <v>0</v>
      </c>
      <c r="O28" s="18" t="n">
        <v>0</v>
      </c>
      <c r="P28" s="20" t="n">
        <v>0</v>
      </c>
      <c r="Q28" s="18" t="n">
        <v>0.15992655</v>
      </c>
      <c r="R28" s="20" t="n">
        <v>0.1611815</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(9714.0/B46*100)</f>
        <v/>
      </c>
      <c r="D46" s="19" t="n">
        <v>1354</v>
      </c>
      <c r="E46" s="18" t="n">
        <v>28.39452842</v>
      </c>
      <c r="F46" s="20" t="n">
        <v>2.1541719</v>
      </c>
      <c r="G46" s="18" t="n">
        <v>70.72802403999999</v>
      </c>
      <c r="H46" s="20" t="n">
        <v>2.08823973</v>
      </c>
      <c r="I46" s="18" t="s">
        <v>349</v>
      </c>
      <c r="J46" s="20" t="s">
        <v>349</v>
      </c>
      <c r="K46" s="18" t="n">
        <v>0.43954541</v>
      </c>
      <c r="L46" s="20" t="n">
        <v>0.40062375</v>
      </c>
      <c r="M46" s="18" t="n">
        <v>0</v>
      </c>
      <c r="N46" s="20" t="n">
        <v>0</v>
      </c>
      <c r="O46" s="18" t="n">
        <v>0</v>
      </c>
      <c r="P46" s="20" t="n">
        <v>0</v>
      </c>
      <c r="Q46" s="18" t="n">
        <v>0.43790213</v>
      </c>
      <c r="R46" s="20" t="n">
        <v>0.18724506</v>
      </c>
    </row>
    <row r="47" spans="1:18">
      <c r="A47" s="15" t="s">
        <v>389</v>
      </c>
      <c r="B47" s="17" t="n">
        <v>3105</v>
      </c>
      <c r="C47" s="18">
        <f>(2730.0/B47*100)</f>
        <v/>
      </c>
      <c r="D47" s="19" t="n">
        <v>375</v>
      </c>
      <c r="E47" s="18" t="n">
        <v>17.48229343</v>
      </c>
      <c r="F47" s="20" t="n">
        <v>2.10929518</v>
      </c>
      <c r="G47" s="18" t="n">
        <v>81.20619101</v>
      </c>
      <c r="H47" s="20" t="n">
        <v>2.13657458</v>
      </c>
      <c r="I47" s="18" t="s">
        <v>349</v>
      </c>
      <c r="J47" s="20" t="s">
        <v>349</v>
      </c>
      <c r="K47" s="18" t="n">
        <v>0.25933943</v>
      </c>
      <c r="L47" s="20" t="n">
        <v>0.26104012</v>
      </c>
      <c r="M47" s="18" t="n">
        <v>0</v>
      </c>
      <c r="N47" s="20" t="n">
        <v>0</v>
      </c>
      <c r="O47" s="18" t="n">
        <v>0</v>
      </c>
      <c r="P47" s="20" t="n">
        <v>0</v>
      </c>
      <c r="Q47" s="18" t="n">
        <v>1.05217614</v>
      </c>
      <c r="R47" s="20" t="n">
        <v>0.6232905</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(4912.0/B50*100)</f>
        <v/>
      </c>
      <c r="D50" s="19" t="n">
        <v>725</v>
      </c>
      <c r="E50" s="18" t="n">
        <v>19.63409192</v>
      </c>
      <c r="F50" s="20" t="n">
        <v>2.27764422</v>
      </c>
      <c r="G50" s="18" t="n">
        <v>78.73960578000001</v>
      </c>
      <c r="H50" s="20" t="n">
        <v>2.35191177</v>
      </c>
      <c r="I50" s="18" t="s">
        <v>349</v>
      </c>
      <c r="J50" s="20" t="s">
        <v>349</v>
      </c>
      <c r="K50" s="18" t="n">
        <v>0.82889439</v>
      </c>
      <c r="L50" s="20" t="n">
        <v>0.60409345</v>
      </c>
      <c r="M50" s="18" t="n">
        <v>0</v>
      </c>
      <c r="N50" s="20" t="n">
        <v>0</v>
      </c>
      <c r="O50" s="18" t="n">
        <v>0</v>
      </c>
      <c r="P50" s="20" t="n">
        <v>0</v>
      </c>
      <c r="Q50" s="18" t="n">
        <v>0.79740791</v>
      </c>
      <c r="R50" s="20" t="n">
        <v>0.47804309</v>
      </c>
    </row>
    <row r="51" spans="1:18">
      <c r="A51" s="15" t="s">
        <v>393</v>
      </c>
      <c r="B51" s="17" t="n">
        <v>3372</v>
      </c>
      <c r="C51" s="18">
        <f>(3012.0/B51*100)</f>
        <v/>
      </c>
      <c r="D51" s="19" t="n">
        <v>360</v>
      </c>
      <c r="E51" s="18" t="n">
        <v>16.61596958</v>
      </c>
      <c r="F51" s="20" t="n">
        <v>2.22470795</v>
      </c>
      <c r="G51" s="18" t="n">
        <v>83.38403042</v>
      </c>
      <c r="H51" s="20" t="n">
        <v>2.22470795</v>
      </c>
      <c r="I51" s="18" t="s">
        <v>349</v>
      </c>
      <c r="J51" s="20" t="s">
        <v>349</v>
      </c>
      <c r="K51" s="18" t="n">
        <v>0</v>
      </c>
      <c r="L51" s="20" t="n">
        <v>0</v>
      </c>
      <c r="M51" s="18" t="n">
        <v>0</v>
      </c>
      <c r="N51" s="20" t="n">
        <v>0</v>
      </c>
      <c r="O51" s="18" t="n">
        <v>0</v>
      </c>
      <c r="P51" s="20" t="n">
        <v>0</v>
      </c>
      <c r="Q51" s="18" t="n">
        <v>0</v>
      </c>
      <c r="R51" s="20" t="n">
        <v>0</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(2454.0/B53*100)</f>
        <v/>
      </c>
      <c r="D53" s="19" t="n">
        <v>357</v>
      </c>
      <c r="E53" s="18" t="n">
        <v>25.16505034</v>
      </c>
      <c r="F53" s="20" t="n">
        <v>2.39037618</v>
      </c>
      <c r="G53" s="18" t="n">
        <v>73.77182729</v>
      </c>
      <c r="H53" s="20" t="n">
        <v>2.43941124</v>
      </c>
      <c r="I53" s="18" t="s">
        <v>349</v>
      </c>
      <c r="J53" s="20" t="s">
        <v>349</v>
      </c>
      <c r="K53" s="18" t="n">
        <v>0.37937979</v>
      </c>
      <c r="L53" s="20" t="n">
        <v>0.3804618</v>
      </c>
      <c r="M53" s="18" t="n">
        <v>0</v>
      </c>
      <c r="N53" s="20" t="n">
        <v>0</v>
      </c>
      <c r="O53" s="18" t="n">
        <v>0</v>
      </c>
      <c r="P53" s="20" t="n">
        <v>0</v>
      </c>
      <c r="Q53" s="18" t="n">
        <v>0.68374259</v>
      </c>
      <c r="R53" s="20" t="n">
        <v>0.40341452</v>
      </c>
    </row>
    <row r="54" spans="1:18">
      <c r="A54" s="15" t="s">
        <v>396</v>
      </c>
      <c r="B54" s="17" t="n">
        <v>2266</v>
      </c>
      <c r="C54" s="18">
        <f>(1894.0/B54*100)</f>
        <v/>
      </c>
      <c r="D54" s="19" t="n">
        <v>372</v>
      </c>
      <c r="E54" s="18" t="n">
        <v>42.75118688</v>
      </c>
      <c r="F54" s="20" t="n">
        <v>2.61463605</v>
      </c>
      <c r="G54" s="18" t="n">
        <v>52.29771779</v>
      </c>
      <c r="H54" s="20" t="n">
        <v>2.80023139</v>
      </c>
      <c r="I54" s="18" t="s">
        <v>349</v>
      </c>
      <c r="J54" s="20" t="s">
        <v>349</v>
      </c>
      <c r="K54" s="18" t="n">
        <v>2.12851984</v>
      </c>
      <c r="L54" s="20" t="n">
        <v>0.9270541</v>
      </c>
      <c r="M54" s="18" t="n">
        <v>0</v>
      </c>
      <c r="N54" s="20" t="n">
        <v>0</v>
      </c>
      <c r="O54" s="18" t="n">
        <v>0</v>
      </c>
      <c r="P54" s="20" t="n">
        <v>0</v>
      </c>
      <c r="Q54" s="18" t="n">
        <v>2.82257549</v>
      </c>
      <c r="R54" s="20" t="n">
        <v>0.91745141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(3088.0/B67*100)</f>
        <v/>
      </c>
      <c r="D67" s="19" t="n">
        <v>423</v>
      </c>
      <c r="E67" s="18" t="n">
        <v>23.7547824</v>
      </c>
      <c r="F67" s="20" t="n">
        <v>1.96167353</v>
      </c>
      <c r="G67" s="18" t="n">
        <v>75.60350508000001</v>
      </c>
      <c r="H67" s="20" t="n">
        <v>1.94724106</v>
      </c>
      <c r="I67" s="18" t="s">
        <v>349</v>
      </c>
      <c r="J67" s="20" t="s">
        <v>349</v>
      </c>
      <c r="K67" s="18" t="n">
        <v>0</v>
      </c>
      <c r="L67" s="20" t="n">
        <v>0</v>
      </c>
      <c r="M67" s="18" t="n">
        <v>0</v>
      </c>
      <c r="N67" s="20" t="n">
        <v>0</v>
      </c>
      <c r="O67" s="18" t="n">
        <v>0</v>
      </c>
      <c r="P67" s="20" t="n">
        <v>0</v>
      </c>
      <c r="Q67" s="18" t="n">
        <v>0.64171252</v>
      </c>
      <c r="R67" s="20" t="n">
        <v>0.36077277</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(2126.0/B75*100)</f>
        <v/>
      </c>
      <c r="D75" s="19" t="n">
        <v>280</v>
      </c>
      <c r="E75" s="18" t="n">
        <v>29.70453335</v>
      </c>
      <c r="F75" s="20" t="n">
        <v>2.86505839</v>
      </c>
      <c r="G75" s="18" t="n">
        <v>69.61056083</v>
      </c>
      <c r="H75" s="20" t="n">
        <v>2.91563021</v>
      </c>
      <c r="I75" s="18" t="s">
        <v>349</v>
      </c>
      <c r="J75" s="20" t="s">
        <v>349</v>
      </c>
      <c r="K75" s="18" t="n">
        <v>0</v>
      </c>
      <c r="L75" s="20" t="n">
        <v>0</v>
      </c>
      <c r="M75" s="18" t="n">
        <v>0</v>
      </c>
      <c r="N75" s="20" t="n">
        <v>0</v>
      </c>
      <c r="O75" s="18" t="n">
        <v>0</v>
      </c>
      <c r="P75" s="20" t="n">
        <v>0</v>
      </c>
      <c r="Q75" s="18" t="n">
        <v>0.68490583</v>
      </c>
      <c r="R75" s="20" t="n">
        <v>0.470443</v>
      </c>
    </row>
    <row r="76" spans="1:18">
      <c r="A76" s="15" t="s">
        <v>418</v>
      </c>
      <c r="B76" s="17" t="n">
        <v>7052</v>
      </c>
      <c r="C76" s="18">
        <f>(6170.0/B76*100)</f>
        <v/>
      </c>
      <c r="D76" s="19" t="n">
        <v>882</v>
      </c>
      <c r="E76" s="18" t="n">
        <v>19.99940696</v>
      </c>
      <c r="F76" s="20" t="n">
        <v>1.41991791</v>
      </c>
      <c r="G76" s="18" t="n">
        <v>78.35694888</v>
      </c>
      <c r="H76" s="20" t="n">
        <v>1.31777432</v>
      </c>
      <c r="I76" s="18" t="s">
        <v>349</v>
      </c>
      <c r="J76" s="20" t="s">
        <v>349</v>
      </c>
      <c r="K76" s="18" t="n">
        <v>1.17735694</v>
      </c>
      <c r="L76" s="20" t="n">
        <v>0.38725654</v>
      </c>
      <c r="M76" s="18" t="n">
        <v>0</v>
      </c>
      <c r="N76" s="20" t="n">
        <v>0</v>
      </c>
      <c r="O76" s="18" t="n">
        <v>0</v>
      </c>
      <c r="P76" s="20" t="n">
        <v>0</v>
      </c>
      <c r="Q76" s="18" t="n">
        <v>0.46628722</v>
      </c>
      <c r="R76" s="20" t="n">
        <v>0.28541896</v>
      </c>
    </row>
    <row r="77" spans="1:18">
      <c r="A77" s="15" t="s">
        <v>419</v>
      </c>
      <c r="B77" s="17" t="n">
        <v>2908</v>
      </c>
      <c r="C77" s="18">
        <f>(2559.0/B77*100)</f>
        <v/>
      </c>
      <c r="D77" s="19" t="n">
        <v>349</v>
      </c>
      <c r="E77" s="18" t="n">
        <v>20.65257857</v>
      </c>
      <c r="F77" s="20" t="n">
        <v>2.22085058</v>
      </c>
      <c r="G77" s="18" t="n">
        <v>76.91850091000001</v>
      </c>
      <c r="H77" s="20" t="n">
        <v>2.53857396</v>
      </c>
      <c r="I77" s="18" t="s">
        <v>349</v>
      </c>
      <c r="J77" s="20" t="s">
        <v>349</v>
      </c>
      <c r="K77" s="18" t="n">
        <v>0.17657964</v>
      </c>
      <c r="L77" s="20" t="n">
        <v>0.17795605</v>
      </c>
      <c r="M77" s="18" t="n">
        <v>0</v>
      </c>
      <c r="N77" s="20" t="n">
        <v>0</v>
      </c>
      <c r="O77" s="18" t="n">
        <v>0</v>
      </c>
      <c r="P77" s="20" t="n">
        <v>0</v>
      </c>
      <c r="Q77" s="18" t="n">
        <v>2.25234089</v>
      </c>
      <c r="R77" s="20" t="n">
        <v>0.94287973</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(3116.0/B11*100)</f>
        <v/>
      </c>
      <c r="D11" s="19" t="n">
        <v>437</v>
      </c>
      <c r="E11" s="18" t="n">
        <v>28.20963678</v>
      </c>
      <c r="F11" s="20" t="n">
        <v>2.34855018</v>
      </c>
      <c r="G11" s="18" t="n">
        <v>62.68467965</v>
      </c>
      <c r="H11" s="20" t="n">
        <v>3.08733765</v>
      </c>
      <c r="I11" s="18" t="s">
        <v>349</v>
      </c>
      <c r="J11" s="20" t="s">
        <v>349</v>
      </c>
      <c r="K11" s="18" t="n">
        <v>0.68177573</v>
      </c>
      <c r="L11" s="20" t="n">
        <v>0.68493648</v>
      </c>
      <c r="M11" s="18" t="n">
        <v>0</v>
      </c>
      <c r="N11" s="20" t="n">
        <v>0</v>
      </c>
      <c r="O11" s="18" t="n">
        <v>0</v>
      </c>
      <c r="P11" s="20" t="n">
        <v>0</v>
      </c>
      <c r="Q11" s="18" t="n">
        <v>8.42390784</v>
      </c>
      <c r="R11" s="20" t="n">
        <v>1.90509097</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(3295.0/B28*100)</f>
        <v/>
      </c>
      <c r="D28" s="19" t="n">
        <v>470</v>
      </c>
      <c r="E28" s="18" t="n">
        <v>36.5929822</v>
      </c>
      <c r="F28" s="20" t="n">
        <v>2.54316881</v>
      </c>
      <c r="G28" s="18" t="n">
        <v>61.55376551</v>
      </c>
      <c r="H28" s="20" t="n">
        <v>2.60899399</v>
      </c>
      <c r="I28" s="18" t="s">
        <v>349</v>
      </c>
      <c r="J28" s="20" t="s">
        <v>349</v>
      </c>
      <c r="K28" s="18" t="n">
        <v>0</v>
      </c>
      <c r="L28" s="20" t="n">
        <v>0</v>
      </c>
      <c r="M28" s="18" t="n">
        <v>0</v>
      </c>
      <c r="N28" s="20" t="n">
        <v>0</v>
      </c>
      <c r="O28" s="18" t="n">
        <v>0</v>
      </c>
      <c r="P28" s="20" t="n">
        <v>0</v>
      </c>
      <c r="Q28" s="18" t="n">
        <v>1.85325229</v>
      </c>
      <c r="R28" s="20" t="n">
        <v>0.72863016</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(9723.0/B46*100)</f>
        <v/>
      </c>
      <c r="D46" s="19" t="n">
        <v>1345</v>
      </c>
      <c r="E46" s="18" t="n">
        <v>45.45650562</v>
      </c>
      <c r="F46" s="20" t="n">
        <v>1.72198912</v>
      </c>
      <c r="G46" s="18" t="n">
        <v>46.41044097</v>
      </c>
      <c r="H46" s="20" t="n">
        <v>1.81676456</v>
      </c>
      <c r="I46" s="18" t="s">
        <v>349</v>
      </c>
      <c r="J46" s="20" t="s">
        <v>349</v>
      </c>
      <c r="K46" s="18" t="n">
        <v>0.44798633</v>
      </c>
      <c r="L46" s="20" t="n">
        <v>0.40298364</v>
      </c>
      <c r="M46" s="18" t="n">
        <v>0</v>
      </c>
      <c r="N46" s="20" t="n">
        <v>0</v>
      </c>
      <c r="O46" s="18" t="n">
        <v>0</v>
      </c>
      <c r="P46" s="20" t="n">
        <v>0</v>
      </c>
      <c r="Q46" s="18" t="n">
        <v>7.68506708</v>
      </c>
      <c r="R46" s="20" t="n">
        <v>0.95692985</v>
      </c>
    </row>
    <row r="47" spans="1:18">
      <c r="A47" s="15" t="s">
        <v>389</v>
      </c>
      <c r="B47" s="17" t="n">
        <v>3105</v>
      </c>
      <c r="C47" s="18">
        <f>(2730.0/B47*100)</f>
        <v/>
      </c>
      <c r="D47" s="19" t="n">
        <v>375</v>
      </c>
      <c r="E47" s="18" t="n">
        <v>32.96442628</v>
      </c>
      <c r="F47" s="20" t="n">
        <v>2.46755869</v>
      </c>
      <c r="G47" s="18" t="n">
        <v>60.37745296</v>
      </c>
      <c r="H47" s="20" t="n">
        <v>2.97744594</v>
      </c>
      <c r="I47" s="18" t="s">
        <v>349</v>
      </c>
      <c r="J47" s="20" t="s">
        <v>349</v>
      </c>
      <c r="K47" s="18" t="n">
        <v>0.54574045</v>
      </c>
      <c r="L47" s="20" t="n">
        <v>0.38317676</v>
      </c>
      <c r="M47" s="18" t="n">
        <v>0</v>
      </c>
      <c r="N47" s="20" t="n">
        <v>0</v>
      </c>
      <c r="O47" s="18" t="n">
        <v>0</v>
      </c>
      <c r="P47" s="20" t="n">
        <v>0</v>
      </c>
      <c r="Q47" s="18" t="n">
        <v>6.11238032</v>
      </c>
      <c r="R47" s="20" t="n">
        <v>1.48963262</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(4912.0/B50*100)</f>
        <v/>
      </c>
      <c r="D50" s="19" t="n">
        <v>725</v>
      </c>
      <c r="E50" s="18" t="n">
        <v>48.51916317</v>
      </c>
      <c r="F50" s="20" t="n">
        <v>2.32823537</v>
      </c>
      <c r="G50" s="18" t="n">
        <v>48.29778523</v>
      </c>
      <c r="H50" s="20" t="n">
        <v>2.39806393</v>
      </c>
      <c r="I50" s="18" t="s">
        <v>349</v>
      </c>
      <c r="J50" s="20" t="s">
        <v>349</v>
      </c>
      <c r="K50" s="18" t="n">
        <v>0.86846105</v>
      </c>
      <c r="L50" s="20" t="n">
        <v>0.60587336</v>
      </c>
      <c r="M50" s="18" t="n">
        <v>0</v>
      </c>
      <c r="N50" s="20" t="n">
        <v>0</v>
      </c>
      <c r="O50" s="18" t="n">
        <v>0</v>
      </c>
      <c r="P50" s="20" t="n">
        <v>0</v>
      </c>
      <c r="Q50" s="18" t="n">
        <v>2.31459055</v>
      </c>
      <c r="R50" s="20" t="n">
        <v>0.69781643</v>
      </c>
    </row>
    <row r="51" spans="1:18">
      <c r="A51" s="15" t="s">
        <v>393</v>
      </c>
      <c r="B51" s="17" t="n">
        <v>3372</v>
      </c>
      <c r="C51" s="18">
        <f>(3015.0/B51*100)</f>
        <v/>
      </c>
      <c r="D51" s="19" t="n">
        <v>357</v>
      </c>
      <c r="E51" s="18" t="n">
        <v>32.91289591</v>
      </c>
      <c r="F51" s="20" t="n">
        <v>2.82072153</v>
      </c>
      <c r="G51" s="18" t="n">
        <v>64.1515861</v>
      </c>
      <c r="H51" s="20" t="n">
        <v>2.69908705</v>
      </c>
      <c r="I51" s="18" t="s">
        <v>349</v>
      </c>
      <c r="J51" s="20" t="s">
        <v>349</v>
      </c>
      <c r="K51" s="18" t="n">
        <v>0</v>
      </c>
      <c r="L51" s="20" t="n">
        <v>0</v>
      </c>
      <c r="M51" s="18" t="n">
        <v>0</v>
      </c>
      <c r="N51" s="20" t="n">
        <v>0</v>
      </c>
      <c r="O51" s="18" t="n">
        <v>0</v>
      </c>
      <c r="P51" s="20" t="n">
        <v>0</v>
      </c>
      <c r="Q51" s="18" t="n">
        <v>2.93551798</v>
      </c>
      <c r="R51" s="20" t="n">
        <v>1.01989221</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(2453.0/B53*100)</f>
        <v/>
      </c>
      <c r="D53" s="19" t="n">
        <v>358</v>
      </c>
      <c r="E53" s="18" t="n">
        <v>31.76929492</v>
      </c>
      <c r="F53" s="20" t="n">
        <v>2.56042369</v>
      </c>
      <c r="G53" s="18" t="n">
        <v>64.8615329</v>
      </c>
      <c r="H53" s="20" t="n">
        <v>2.65758383</v>
      </c>
      <c r="I53" s="18" t="s">
        <v>349</v>
      </c>
      <c r="J53" s="20" t="s">
        <v>349</v>
      </c>
      <c r="K53" s="18" t="n">
        <v>0.37858937</v>
      </c>
      <c r="L53" s="20" t="n">
        <v>0.38006475</v>
      </c>
      <c r="M53" s="18" t="n">
        <v>0</v>
      </c>
      <c r="N53" s="20" t="n">
        <v>0</v>
      </c>
      <c r="O53" s="18" t="n">
        <v>0</v>
      </c>
      <c r="P53" s="20" t="n">
        <v>0</v>
      </c>
      <c r="Q53" s="18" t="n">
        <v>2.9905828</v>
      </c>
      <c r="R53" s="20" t="n">
        <v>0.83578715</v>
      </c>
    </row>
    <row r="54" spans="1:18">
      <c r="A54" s="15" t="s">
        <v>396</v>
      </c>
      <c r="B54" s="17" t="n">
        <v>2266</v>
      </c>
      <c r="C54" s="18">
        <f>(1894.0/B54*100)</f>
        <v/>
      </c>
      <c r="D54" s="19" t="n">
        <v>372</v>
      </c>
      <c r="E54" s="18" t="n">
        <v>56.54437475</v>
      </c>
      <c r="F54" s="20" t="n">
        <v>2.73556438</v>
      </c>
      <c r="G54" s="18" t="n">
        <v>31.18947514</v>
      </c>
      <c r="H54" s="20" t="n">
        <v>2.72552846</v>
      </c>
      <c r="I54" s="18" t="s">
        <v>349</v>
      </c>
      <c r="J54" s="20" t="s">
        <v>349</v>
      </c>
      <c r="K54" s="18" t="n">
        <v>2.72850722</v>
      </c>
      <c r="L54" s="20" t="n">
        <v>1.01413154</v>
      </c>
      <c r="M54" s="18" t="n">
        <v>0</v>
      </c>
      <c r="N54" s="20" t="n">
        <v>0</v>
      </c>
      <c r="O54" s="18" t="n">
        <v>0</v>
      </c>
      <c r="P54" s="20" t="n">
        <v>0</v>
      </c>
      <c r="Q54" s="18" t="n">
        <v>9.537642890000001</v>
      </c>
      <c r="R54" s="20" t="n">
        <v>1.79653821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(3089.0/B67*100)</f>
        <v/>
      </c>
      <c r="D67" s="19" t="n">
        <v>422</v>
      </c>
      <c r="E67" s="18" t="n">
        <v>37.7368592</v>
      </c>
      <c r="F67" s="20" t="n">
        <v>2.6091187</v>
      </c>
      <c r="G67" s="18" t="n">
        <v>57.45538228</v>
      </c>
      <c r="H67" s="20" t="n">
        <v>2.55180161</v>
      </c>
      <c r="I67" s="18" t="s">
        <v>349</v>
      </c>
      <c r="J67" s="20" t="s">
        <v>349</v>
      </c>
      <c r="K67" s="18" t="n">
        <v>0</v>
      </c>
      <c r="L67" s="20" t="n">
        <v>0</v>
      </c>
      <c r="M67" s="18" t="n">
        <v>0</v>
      </c>
      <c r="N67" s="20" t="n">
        <v>0</v>
      </c>
      <c r="O67" s="18" t="n">
        <v>0</v>
      </c>
      <c r="P67" s="20" t="n">
        <v>0</v>
      </c>
      <c r="Q67" s="18" t="n">
        <v>4.80775852</v>
      </c>
      <c r="R67" s="20" t="n">
        <v>1.05856284</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(2124.0/B75*100)</f>
        <v/>
      </c>
      <c r="D75" s="19" t="n">
        <v>282</v>
      </c>
      <c r="E75" s="18" t="n">
        <v>43.79553674</v>
      </c>
      <c r="F75" s="20" t="n">
        <v>3.20299008</v>
      </c>
      <c r="G75" s="18" t="n">
        <v>52.14707973</v>
      </c>
      <c r="H75" s="20" t="n">
        <v>3.20792895</v>
      </c>
      <c r="I75" s="18" t="s">
        <v>349</v>
      </c>
      <c r="J75" s="20" t="s">
        <v>349</v>
      </c>
      <c r="K75" s="18" t="n">
        <v>0.3195047</v>
      </c>
      <c r="L75" s="20" t="n">
        <v>0.33352629</v>
      </c>
      <c r="M75" s="18" t="n">
        <v>0</v>
      </c>
      <c r="N75" s="20" t="n">
        <v>0</v>
      </c>
      <c r="O75" s="18" t="n">
        <v>0</v>
      </c>
      <c r="P75" s="20" t="n">
        <v>0</v>
      </c>
      <c r="Q75" s="18" t="n">
        <v>3.73787883</v>
      </c>
      <c r="R75" s="20" t="n">
        <v>1.19198343</v>
      </c>
    </row>
    <row r="76" spans="1:18">
      <c r="A76" s="15" t="s">
        <v>418</v>
      </c>
      <c r="B76" s="17" t="n">
        <v>7052</v>
      </c>
      <c r="C76" s="18">
        <f>(6170.0/B76*100)</f>
        <v/>
      </c>
      <c r="D76" s="19" t="n">
        <v>882</v>
      </c>
      <c r="E76" s="18" t="n">
        <v>37.19501637</v>
      </c>
      <c r="F76" s="20" t="n">
        <v>1.9749935</v>
      </c>
      <c r="G76" s="18" t="n">
        <v>58.94787686</v>
      </c>
      <c r="H76" s="20" t="n">
        <v>1.95152465</v>
      </c>
      <c r="I76" s="18" t="s">
        <v>349</v>
      </c>
      <c r="J76" s="20" t="s">
        <v>349</v>
      </c>
      <c r="K76" s="18" t="n">
        <v>1.17735694</v>
      </c>
      <c r="L76" s="20" t="n">
        <v>0.38725654</v>
      </c>
      <c r="M76" s="18" t="n">
        <v>0</v>
      </c>
      <c r="N76" s="20" t="n">
        <v>0</v>
      </c>
      <c r="O76" s="18" t="n">
        <v>0</v>
      </c>
      <c r="P76" s="20" t="n">
        <v>0</v>
      </c>
      <c r="Q76" s="18" t="n">
        <v>2.67974983</v>
      </c>
      <c r="R76" s="20" t="n">
        <v>0.39947021</v>
      </c>
    </row>
    <row r="77" spans="1:18">
      <c r="A77" s="15" t="s">
        <v>419</v>
      </c>
      <c r="B77" s="17" t="n">
        <v>2908</v>
      </c>
      <c r="C77" s="18">
        <f>(2559.0/B77*100)</f>
        <v/>
      </c>
      <c r="D77" s="19" t="n">
        <v>349</v>
      </c>
      <c r="E77" s="18" t="n">
        <v>29.9035069</v>
      </c>
      <c r="F77" s="20" t="n">
        <v>2.98587316</v>
      </c>
      <c r="G77" s="18" t="n">
        <v>63.37017356</v>
      </c>
      <c r="H77" s="20" t="n">
        <v>2.94774442</v>
      </c>
      <c r="I77" s="18" t="s">
        <v>349</v>
      </c>
      <c r="J77" s="20" t="s">
        <v>349</v>
      </c>
      <c r="K77" s="18" t="n">
        <v>0.48288096</v>
      </c>
      <c r="L77" s="20" t="n">
        <v>0.30466963</v>
      </c>
      <c r="M77" s="18" t="n">
        <v>0</v>
      </c>
      <c r="N77" s="20" t="n">
        <v>0</v>
      </c>
      <c r="O77" s="18" t="n">
        <v>0</v>
      </c>
      <c r="P77" s="20" t="n">
        <v>0</v>
      </c>
      <c r="Q77" s="18" t="n">
        <v>6.24343858</v>
      </c>
      <c r="R77" s="20" t="n">
        <v>1.37109195</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(3116.0/B11*100)</f>
        <v/>
      </c>
      <c r="D11" s="19" t="n">
        <v>437</v>
      </c>
      <c r="E11" s="18" t="n">
        <v>92.13176435</v>
      </c>
      <c r="F11" s="20" t="n">
        <v>1.88562472</v>
      </c>
      <c r="G11" s="18" t="n">
        <v>0.66037173</v>
      </c>
      <c r="H11" s="20" t="n">
        <v>0.42701213</v>
      </c>
      <c r="I11" s="18" t="s">
        <v>349</v>
      </c>
      <c r="J11" s="20" t="s">
        <v>349</v>
      </c>
      <c r="K11" s="18" t="n">
        <v>0.68177573</v>
      </c>
      <c r="L11" s="20" t="n">
        <v>0.68493648</v>
      </c>
      <c r="M11" s="18" t="n">
        <v>0</v>
      </c>
      <c r="N11" s="20" t="n">
        <v>0</v>
      </c>
      <c r="O11" s="18" t="n">
        <v>0</v>
      </c>
      <c r="P11" s="20" t="n">
        <v>0</v>
      </c>
      <c r="Q11" s="18" t="n">
        <v>6.5260882</v>
      </c>
      <c r="R11" s="20" t="n">
        <v>1.77134183</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(3297.0/B28*100)</f>
        <v/>
      </c>
      <c r="D28" s="19" t="n">
        <v>468</v>
      </c>
      <c r="E28" s="18" t="n">
        <v>86.48293489</v>
      </c>
      <c r="F28" s="20" t="n">
        <v>1.84089053</v>
      </c>
      <c r="G28" s="18" t="n">
        <v>9.29828425</v>
      </c>
      <c r="H28" s="20" t="n">
        <v>1.64092128</v>
      </c>
      <c r="I28" s="18" t="s">
        <v>349</v>
      </c>
      <c r="J28" s="20" t="s">
        <v>349</v>
      </c>
      <c r="K28" s="18" t="n">
        <v>0</v>
      </c>
      <c r="L28" s="20" t="n">
        <v>0</v>
      </c>
      <c r="M28" s="18" t="n">
        <v>0</v>
      </c>
      <c r="N28" s="20" t="n">
        <v>0</v>
      </c>
      <c r="O28" s="18" t="n">
        <v>0</v>
      </c>
      <c r="P28" s="20" t="n">
        <v>0</v>
      </c>
      <c r="Q28" s="18" t="n">
        <v>4.21878086</v>
      </c>
      <c r="R28" s="20" t="n">
        <v>1.13985112</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(9735.0/B46*100)</f>
        <v/>
      </c>
      <c r="D46" s="19" t="n">
        <v>1333</v>
      </c>
      <c r="E46" s="18" t="n">
        <v>86.1968741</v>
      </c>
      <c r="F46" s="20" t="n">
        <v>1.3071458</v>
      </c>
      <c r="G46" s="18" t="n">
        <v>4.21170081</v>
      </c>
      <c r="H46" s="20" t="n">
        <v>0.70925672</v>
      </c>
      <c r="I46" s="18" t="s">
        <v>349</v>
      </c>
      <c r="J46" s="20" t="s">
        <v>349</v>
      </c>
      <c r="K46" s="18" t="n">
        <v>0.45258961</v>
      </c>
      <c r="L46" s="20" t="n">
        <v>0.40715376</v>
      </c>
      <c r="M46" s="18" t="n">
        <v>0</v>
      </c>
      <c r="N46" s="20" t="n">
        <v>0</v>
      </c>
      <c r="O46" s="18" t="n">
        <v>0</v>
      </c>
      <c r="P46" s="20" t="n">
        <v>0</v>
      </c>
      <c r="Q46" s="18" t="n">
        <v>9.13883549</v>
      </c>
      <c r="R46" s="20" t="n">
        <v>1.25723562</v>
      </c>
    </row>
    <row r="47" spans="1:18">
      <c r="A47" s="15" t="s">
        <v>389</v>
      </c>
      <c r="B47" s="17" t="n">
        <v>3105</v>
      </c>
      <c r="C47" s="18">
        <f>(2730.0/B47*100)</f>
        <v/>
      </c>
      <c r="D47" s="19" t="n">
        <v>375</v>
      </c>
      <c r="E47" s="18" t="n">
        <v>79.70947481</v>
      </c>
      <c r="F47" s="20" t="n">
        <v>2.02281245</v>
      </c>
      <c r="G47" s="18" t="n">
        <v>11.53619889</v>
      </c>
      <c r="H47" s="20" t="n">
        <v>1.55352752</v>
      </c>
      <c r="I47" s="18" t="s">
        <v>349</v>
      </c>
      <c r="J47" s="20" t="s">
        <v>349</v>
      </c>
      <c r="K47" s="18" t="n">
        <v>0.54574045</v>
      </c>
      <c r="L47" s="20" t="n">
        <v>0.38317676</v>
      </c>
      <c r="M47" s="18" t="n">
        <v>0</v>
      </c>
      <c r="N47" s="20" t="n">
        <v>0</v>
      </c>
      <c r="O47" s="18" t="n">
        <v>0</v>
      </c>
      <c r="P47" s="20" t="n">
        <v>0</v>
      </c>
      <c r="Q47" s="18" t="n">
        <v>8.20858585</v>
      </c>
      <c r="R47" s="20" t="n">
        <v>1.84595685</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(4912.0/B50*100)</f>
        <v/>
      </c>
      <c r="D50" s="19" t="n">
        <v>725</v>
      </c>
      <c r="E50" s="18" t="n">
        <v>92.26130084</v>
      </c>
      <c r="F50" s="20" t="n">
        <v>1.4645893</v>
      </c>
      <c r="G50" s="18" t="n">
        <v>3.0095528</v>
      </c>
      <c r="H50" s="20" t="n">
        <v>0.77018373</v>
      </c>
      <c r="I50" s="18" t="s">
        <v>349</v>
      </c>
      <c r="J50" s="20" t="s">
        <v>349</v>
      </c>
      <c r="K50" s="18" t="n">
        <v>1.43677729</v>
      </c>
      <c r="L50" s="20" t="n">
        <v>0.8323659799999999</v>
      </c>
      <c r="M50" s="18" t="n">
        <v>0</v>
      </c>
      <c r="N50" s="20" t="n">
        <v>0</v>
      </c>
      <c r="O50" s="18" t="n">
        <v>0</v>
      </c>
      <c r="P50" s="20" t="n">
        <v>0</v>
      </c>
      <c r="Q50" s="18" t="n">
        <v>3.29236907</v>
      </c>
      <c r="R50" s="20" t="n">
        <v>0.98983696</v>
      </c>
    </row>
    <row r="51" spans="1:18">
      <c r="A51" s="15" t="s">
        <v>393</v>
      </c>
      <c r="B51" s="17" t="n">
        <v>3372</v>
      </c>
      <c r="C51" s="18">
        <f>(3015.0/B51*100)</f>
        <v/>
      </c>
      <c r="D51" s="19" t="n">
        <v>357</v>
      </c>
      <c r="E51" s="18" t="n">
        <v>91.31311508</v>
      </c>
      <c r="F51" s="20" t="n">
        <v>1.37579865</v>
      </c>
      <c r="G51" s="18" t="n">
        <v>6.62759423</v>
      </c>
      <c r="H51" s="20" t="n">
        <v>1.24001902</v>
      </c>
      <c r="I51" s="18" t="s">
        <v>349</v>
      </c>
      <c r="J51" s="20" t="s">
        <v>349</v>
      </c>
      <c r="K51" s="18" t="n">
        <v>0</v>
      </c>
      <c r="L51" s="20" t="n">
        <v>0</v>
      </c>
      <c r="M51" s="18" t="n">
        <v>0</v>
      </c>
      <c r="N51" s="20" t="n">
        <v>0</v>
      </c>
      <c r="O51" s="18" t="n">
        <v>0</v>
      </c>
      <c r="P51" s="20" t="n">
        <v>0</v>
      </c>
      <c r="Q51" s="18" t="n">
        <v>2.05929068</v>
      </c>
      <c r="R51" s="20" t="n">
        <v>0.65412258</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(2453.0/B53*100)</f>
        <v/>
      </c>
      <c r="D53" s="19" t="n">
        <v>358</v>
      </c>
      <c r="E53" s="18" t="n">
        <v>82.99482979</v>
      </c>
      <c r="F53" s="20" t="n">
        <v>1.95026815</v>
      </c>
      <c r="G53" s="18" t="n">
        <v>10.68200446</v>
      </c>
      <c r="H53" s="20" t="n">
        <v>1.65146389</v>
      </c>
      <c r="I53" s="18" t="s">
        <v>349</v>
      </c>
      <c r="J53" s="20" t="s">
        <v>349</v>
      </c>
      <c r="K53" s="18" t="n">
        <v>0.37858937</v>
      </c>
      <c r="L53" s="20" t="n">
        <v>0.38006475</v>
      </c>
      <c r="M53" s="18" t="n">
        <v>0</v>
      </c>
      <c r="N53" s="20" t="n">
        <v>0</v>
      </c>
      <c r="O53" s="18" t="n">
        <v>0</v>
      </c>
      <c r="P53" s="20" t="n">
        <v>0</v>
      </c>
      <c r="Q53" s="18" t="n">
        <v>5.94457637</v>
      </c>
      <c r="R53" s="20" t="n">
        <v>1.25155327</v>
      </c>
    </row>
    <row r="54" spans="1:18">
      <c r="A54" s="15" t="s">
        <v>396</v>
      </c>
      <c r="B54" s="17" t="n">
        <v>2266</v>
      </c>
      <c r="C54" s="18">
        <f>(1894.0/B54*100)</f>
        <v/>
      </c>
      <c r="D54" s="19" t="n">
        <v>372</v>
      </c>
      <c r="E54" s="18" t="n">
        <v>83.08576364</v>
      </c>
      <c r="F54" s="20" t="n">
        <v>1.98417852</v>
      </c>
      <c r="G54" s="18" t="n">
        <v>0.94317781</v>
      </c>
      <c r="H54" s="20" t="n">
        <v>0.35277779</v>
      </c>
      <c r="I54" s="18" t="s">
        <v>349</v>
      </c>
      <c r="J54" s="20" t="s">
        <v>349</v>
      </c>
      <c r="K54" s="18" t="n">
        <v>3.42440967</v>
      </c>
      <c r="L54" s="20" t="n">
        <v>1.07109492</v>
      </c>
      <c r="M54" s="18" t="n">
        <v>0</v>
      </c>
      <c r="N54" s="20" t="n">
        <v>0</v>
      </c>
      <c r="O54" s="18" t="n">
        <v>0</v>
      </c>
      <c r="P54" s="20" t="n">
        <v>0</v>
      </c>
      <c r="Q54" s="18" t="n">
        <v>12.54664889</v>
      </c>
      <c r="R54" s="20" t="n">
        <v>1.95395781</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(3092.0/B67*100)</f>
        <v/>
      </c>
      <c r="D67" s="19" t="n">
        <v>419</v>
      </c>
      <c r="E67" s="18" t="n">
        <v>90.27107313</v>
      </c>
      <c r="F67" s="20" t="n">
        <v>1.54583823</v>
      </c>
      <c r="G67" s="18" t="n">
        <v>5.49940648</v>
      </c>
      <c r="H67" s="20" t="n">
        <v>1.05646989</v>
      </c>
      <c r="I67" s="18" t="s">
        <v>349</v>
      </c>
      <c r="J67" s="20" t="s">
        <v>349</v>
      </c>
      <c r="K67" s="18" t="n">
        <v>0</v>
      </c>
      <c r="L67" s="20" t="n">
        <v>0</v>
      </c>
      <c r="M67" s="18" t="n">
        <v>0</v>
      </c>
      <c r="N67" s="20" t="n">
        <v>0</v>
      </c>
      <c r="O67" s="18" t="n">
        <v>0</v>
      </c>
      <c r="P67" s="20" t="n">
        <v>0</v>
      </c>
      <c r="Q67" s="18" t="n">
        <v>4.22952039</v>
      </c>
      <c r="R67" s="20" t="n">
        <v>1.10672566</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(2125.0/B75*100)</f>
        <v/>
      </c>
      <c r="D75" s="19" t="n">
        <v>281</v>
      </c>
      <c r="E75" s="18" t="n">
        <v>83.41541782</v>
      </c>
      <c r="F75" s="20" t="n">
        <v>2.21423027</v>
      </c>
      <c r="G75" s="18" t="n">
        <v>8.21316251</v>
      </c>
      <c r="H75" s="20" t="n">
        <v>1.41017641</v>
      </c>
      <c r="I75" s="18" t="s">
        <v>349</v>
      </c>
      <c r="J75" s="20" t="s">
        <v>349</v>
      </c>
      <c r="K75" s="18" t="n">
        <v>0.32073508</v>
      </c>
      <c r="L75" s="20" t="n">
        <v>0.33481676</v>
      </c>
      <c r="M75" s="18" t="n">
        <v>0</v>
      </c>
      <c r="N75" s="20" t="n">
        <v>0</v>
      </c>
      <c r="O75" s="18" t="n">
        <v>0</v>
      </c>
      <c r="P75" s="20" t="n">
        <v>0</v>
      </c>
      <c r="Q75" s="18" t="n">
        <v>8.050684589999999</v>
      </c>
      <c r="R75" s="20" t="n">
        <v>1.54184322</v>
      </c>
    </row>
    <row r="76" spans="1:18">
      <c r="A76" s="15" t="s">
        <v>418</v>
      </c>
      <c r="B76" s="17" t="n">
        <v>7052</v>
      </c>
      <c r="C76" s="18">
        <f>(6171.0/B76*100)</f>
        <v/>
      </c>
      <c r="D76" s="19" t="n">
        <v>881</v>
      </c>
      <c r="E76" s="18" t="n">
        <v>83.52562789</v>
      </c>
      <c r="F76" s="20" t="n">
        <v>1.65657876</v>
      </c>
      <c r="G76" s="18" t="n">
        <v>11.8974253</v>
      </c>
      <c r="H76" s="20" t="n">
        <v>1.25005615</v>
      </c>
      <c r="I76" s="18" t="s">
        <v>349</v>
      </c>
      <c r="J76" s="20" t="s">
        <v>349</v>
      </c>
      <c r="K76" s="18" t="n">
        <v>1.17801384</v>
      </c>
      <c r="L76" s="20" t="n">
        <v>0.38747673</v>
      </c>
      <c r="M76" s="18" t="n">
        <v>0</v>
      </c>
      <c r="N76" s="20" t="n">
        <v>0</v>
      </c>
      <c r="O76" s="18" t="n">
        <v>0</v>
      </c>
      <c r="P76" s="20" t="n">
        <v>0</v>
      </c>
      <c r="Q76" s="18" t="n">
        <v>3.39893297</v>
      </c>
      <c r="R76" s="20" t="n">
        <v>0.99278624</v>
      </c>
    </row>
    <row r="77" spans="1:18">
      <c r="A77" s="15" t="s">
        <v>419</v>
      </c>
      <c r="B77" s="17" t="n">
        <v>2908</v>
      </c>
      <c r="C77" s="18">
        <f>(2559.0/B77*100)</f>
        <v/>
      </c>
      <c r="D77" s="19" t="n">
        <v>349</v>
      </c>
      <c r="E77" s="18" t="n">
        <v>84.17384394</v>
      </c>
      <c r="F77" s="20" t="n">
        <v>2.03550603</v>
      </c>
      <c r="G77" s="18" t="n">
        <v>9.854265890000001</v>
      </c>
      <c r="H77" s="20" t="n">
        <v>1.91331034</v>
      </c>
      <c r="I77" s="18" t="s">
        <v>349</v>
      </c>
      <c r="J77" s="20" t="s">
        <v>349</v>
      </c>
      <c r="K77" s="18" t="n">
        <v>0.48288096</v>
      </c>
      <c r="L77" s="20" t="n">
        <v>0.30466963</v>
      </c>
      <c r="M77" s="18" t="n">
        <v>0</v>
      </c>
      <c r="N77" s="20" t="n">
        <v>0</v>
      </c>
      <c r="O77" s="18" t="n">
        <v>0</v>
      </c>
      <c r="P77" s="20" t="n">
        <v>0</v>
      </c>
      <c r="Q77" s="18" t="n">
        <v>5.48900921</v>
      </c>
      <c r="R77" s="20" t="n">
        <v>1.24986608</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(3118.0/B11*100)</f>
        <v/>
      </c>
      <c r="D11" s="19" t="n">
        <v>435</v>
      </c>
      <c r="E11" s="18" t="n">
        <v>51.89371004</v>
      </c>
      <c r="F11" s="20" t="n">
        <v>3.0577274</v>
      </c>
      <c r="G11" s="18" t="n">
        <v>28.21278283</v>
      </c>
      <c r="H11" s="20" t="n">
        <v>2.35706537</v>
      </c>
      <c r="I11" s="18" t="s">
        <v>349</v>
      </c>
      <c r="J11" s="20" t="s">
        <v>349</v>
      </c>
      <c r="K11" s="18" t="n">
        <v>0.68634585</v>
      </c>
      <c r="L11" s="20" t="n">
        <v>0.68943983</v>
      </c>
      <c r="M11" s="18" t="n">
        <v>0</v>
      </c>
      <c r="N11" s="20" t="n">
        <v>0</v>
      </c>
      <c r="O11" s="18" t="n">
        <v>0</v>
      </c>
      <c r="P11" s="20" t="n">
        <v>0</v>
      </c>
      <c r="Q11" s="18" t="n">
        <v>19.20716128</v>
      </c>
      <c r="R11" s="20" t="n">
        <v>2.4733019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(3302.0/B28*100)</f>
        <v/>
      </c>
      <c r="D28" s="19" t="n">
        <v>463</v>
      </c>
      <c r="E28" s="18" t="n">
        <v>62.02311709</v>
      </c>
      <c r="F28" s="20" t="n">
        <v>2.50534351</v>
      </c>
      <c r="G28" s="18" t="n">
        <v>31.73497003</v>
      </c>
      <c r="H28" s="20" t="n">
        <v>2.31742783</v>
      </c>
      <c r="I28" s="18" t="s">
        <v>349</v>
      </c>
      <c r="J28" s="20" t="s">
        <v>349</v>
      </c>
      <c r="K28" s="18" t="n">
        <v>0.29954003</v>
      </c>
      <c r="L28" s="20" t="n">
        <v>0.33358672</v>
      </c>
      <c r="M28" s="18" t="n">
        <v>0</v>
      </c>
      <c r="N28" s="20" t="n">
        <v>0</v>
      </c>
      <c r="O28" s="18" t="n">
        <v>0</v>
      </c>
      <c r="P28" s="20" t="n">
        <v>0</v>
      </c>
      <c r="Q28" s="18" t="n">
        <v>5.94237286</v>
      </c>
      <c r="R28" s="20" t="n">
        <v>1.11014335</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(9757.0/B46*100)</f>
        <v/>
      </c>
      <c r="D46" s="19" t="n">
        <v>1311</v>
      </c>
      <c r="E46" s="18" t="n">
        <v>69.55460929</v>
      </c>
      <c r="F46" s="20" t="n">
        <v>2.1112219</v>
      </c>
      <c r="G46" s="18" t="n">
        <v>19.46156631</v>
      </c>
      <c r="H46" s="20" t="n">
        <v>1.70323368</v>
      </c>
      <c r="I46" s="18" t="s">
        <v>349</v>
      </c>
      <c r="J46" s="20" t="s">
        <v>349</v>
      </c>
      <c r="K46" s="18" t="n">
        <v>0.54340982</v>
      </c>
      <c r="L46" s="20" t="n">
        <v>0.42051194</v>
      </c>
      <c r="M46" s="18" t="n">
        <v>0</v>
      </c>
      <c r="N46" s="20" t="n">
        <v>0</v>
      </c>
      <c r="O46" s="18" t="n">
        <v>0</v>
      </c>
      <c r="P46" s="20" t="n">
        <v>0</v>
      </c>
      <c r="Q46" s="18" t="n">
        <v>10.44041458</v>
      </c>
      <c r="R46" s="20" t="n">
        <v>1.23838148</v>
      </c>
    </row>
    <row r="47" spans="1:18">
      <c r="A47" s="15" t="s">
        <v>389</v>
      </c>
      <c r="B47" s="17" t="n">
        <v>3105</v>
      </c>
      <c r="C47" s="18">
        <f>(2731.0/B47*100)</f>
        <v/>
      </c>
      <c r="D47" s="19" t="n">
        <v>374</v>
      </c>
      <c r="E47" s="18" t="n">
        <v>43.84431576</v>
      </c>
      <c r="F47" s="20" t="n">
        <v>2.55432812</v>
      </c>
      <c r="G47" s="18" t="n">
        <v>44.81491963</v>
      </c>
      <c r="H47" s="20" t="n">
        <v>2.67796626</v>
      </c>
      <c r="I47" s="18" t="s">
        <v>349</v>
      </c>
      <c r="J47" s="20" t="s">
        <v>349</v>
      </c>
      <c r="K47" s="18" t="n">
        <v>0.81962676</v>
      </c>
      <c r="L47" s="20" t="n">
        <v>0.48854166</v>
      </c>
      <c r="M47" s="18" t="n">
        <v>0</v>
      </c>
      <c r="N47" s="20" t="n">
        <v>0</v>
      </c>
      <c r="O47" s="18" t="n">
        <v>0</v>
      </c>
      <c r="P47" s="20" t="n">
        <v>0</v>
      </c>
      <c r="Q47" s="18" t="n">
        <v>10.52113785</v>
      </c>
      <c r="R47" s="20" t="n">
        <v>1.6530799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(4912.0/B50*100)</f>
        <v/>
      </c>
      <c r="D50" s="19" t="n">
        <v>725</v>
      </c>
      <c r="E50" s="18" t="n">
        <v>71.3089358</v>
      </c>
      <c r="F50" s="20" t="n">
        <v>2.49379273</v>
      </c>
      <c r="G50" s="18" t="n">
        <v>20.00652365</v>
      </c>
      <c r="H50" s="20" t="n">
        <v>2.27708241</v>
      </c>
      <c r="I50" s="18" t="s">
        <v>349</v>
      </c>
      <c r="J50" s="20" t="s">
        <v>349</v>
      </c>
      <c r="K50" s="18" t="n">
        <v>1.71811744</v>
      </c>
      <c r="L50" s="20" t="n">
        <v>0.87472821</v>
      </c>
      <c r="M50" s="18" t="n">
        <v>0</v>
      </c>
      <c r="N50" s="20" t="n">
        <v>0</v>
      </c>
      <c r="O50" s="18" t="n">
        <v>0</v>
      </c>
      <c r="P50" s="20" t="n">
        <v>0</v>
      </c>
      <c r="Q50" s="18" t="n">
        <v>6.96642311</v>
      </c>
      <c r="R50" s="20" t="n">
        <v>1.54310876</v>
      </c>
    </row>
    <row r="51" spans="1:18">
      <c r="A51" s="15" t="s">
        <v>393</v>
      </c>
      <c r="B51" s="17" t="n">
        <v>3372</v>
      </c>
      <c r="C51" s="18">
        <f>(3018.0/B51*100)</f>
        <v/>
      </c>
      <c r="D51" s="19" t="n">
        <v>354</v>
      </c>
      <c r="E51" s="18" t="n">
        <v>66.6270409</v>
      </c>
      <c r="F51" s="20" t="n">
        <v>2.85865066</v>
      </c>
      <c r="G51" s="18" t="n">
        <v>26.15968817</v>
      </c>
      <c r="H51" s="20" t="n">
        <v>2.72303249</v>
      </c>
      <c r="I51" s="18" t="s">
        <v>349</v>
      </c>
      <c r="J51" s="20" t="s">
        <v>349</v>
      </c>
      <c r="K51" s="18" t="n">
        <v>0</v>
      </c>
      <c r="L51" s="20" t="n">
        <v>0</v>
      </c>
      <c r="M51" s="18" t="n">
        <v>0</v>
      </c>
      <c r="N51" s="20" t="n">
        <v>0</v>
      </c>
      <c r="O51" s="18" t="n">
        <v>0</v>
      </c>
      <c r="P51" s="20" t="n">
        <v>0</v>
      </c>
      <c r="Q51" s="18" t="n">
        <v>7.21327092</v>
      </c>
      <c r="R51" s="20" t="n">
        <v>1.65550939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(2453.0/B53*100)</f>
        <v/>
      </c>
      <c r="D53" s="19" t="n">
        <v>358</v>
      </c>
      <c r="E53" s="18" t="n">
        <v>40.62330561</v>
      </c>
      <c r="F53" s="20" t="n">
        <v>2.4917677</v>
      </c>
      <c r="G53" s="18" t="n">
        <v>49.86089341</v>
      </c>
      <c r="H53" s="20" t="n">
        <v>2.49843395</v>
      </c>
      <c r="I53" s="18" t="s">
        <v>349</v>
      </c>
      <c r="J53" s="20" t="s">
        <v>349</v>
      </c>
      <c r="K53" s="18" t="n">
        <v>0.37858937</v>
      </c>
      <c r="L53" s="20" t="n">
        <v>0.38006475</v>
      </c>
      <c r="M53" s="18" t="n">
        <v>0</v>
      </c>
      <c r="N53" s="20" t="n">
        <v>0</v>
      </c>
      <c r="O53" s="18" t="n">
        <v>0</v>
      </c>
      <c r="P53" s="20" t="n">
        <v>0</v>
      </c>
      <c r="Q53" s="18" t="n">
        <v>9.13721161</v>
      </c>
      <c r="R53" s="20" t="n">
        <v>1.32696168</v>
      </c>
    </row>
    <row r="54" spans="1:18">
      <c r="A54" s="15" t="s">
        <v>396</v>
      </c>
      <c r="B54" s="17" t="n">
        <v>2266</v>
      </c>
      <c r="C54" s="18">
        <f>(1896.0/B54*100)</f>
        <v/>
      </c>
      <c r="D54" s="19" t="n">
        <v>370</v>
      </c>
      <c r="E54" s="18" t="n">
        <v>79.33721561</v>
      </c>
      <c r="F54" s="20" t="n">
        <v>2.30664851</v>
      </c>
      <c r="G54" s="18" t="n">
        <v>6.12249686</v>
      </c>
      <c r="H54" s="20" t="n">
        <v>1.25642194</v>
      </c>
      <c r="I54" s="18" t="s">
        <v>349</v>
      </c>
      <c r="J54" s="20" t="s">
        <v>349</v>
      </c>
      <c r="K54" s="18" t="n">
        <v>3.93400287</v>
      </c>
      <c r="L54" s="20" t="n">
        <v>1.11660432</v>
      </c>
      <c r="M54" s="18" t="n">
        <v>0</v>
      </c>
      <c r="N54" s="20" t="n">
        <v>0</v>
      </c>
      <c r="O54" s="18" t="n">
        <v>0</v>
      </c>
      <c r="P54" s="20" t="n">
        <v>0</v>
      </c>
      <c r="Q54" s="18" t="n">
        <v>10.60628467</v>
      </c>
      <c r="R54" s="20" t="n">
        <v>1.95330123</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(3096.0/B67*100)</f>
        <v/>
      </c>
      <c r="D67" s="19" t="n">
        <v>415</v>
      </c>
      <c r="E67" s="18" t="n">
        <v>57.31731642</v>
      </c>
      <c r="F67" s="20" t="n">
        <v>2.90339923</v>
      </c>
      <c r="G67" s="18" t="n">
        <v>35.25091529</v>
      </c>
      <c r="H67" s="20" t="n">
        <v>2.68816089</v>
      </c>
      <c r="I67" s="18" t="s">
        <v>349</v>
      </c>
      <c r="J67" s="20" t="s">
        <v>349</v>
      </c>
      <c r="K67" s="18" t="n">
        <v>0</v>
      </c>
      <c r="L67" s="20" t="n">
        <v>0</v>
      </c>
      <c r="M67" s="18" t="n">
        <v>0</v>
      </c>
      <c r="N67" s="20" t="n">
        <v>0</v>
      </c>
      <c r="O67" s="18" t="n">
        <v>0</v>
      </c>
      <c r="P67" s="20" t="n">
        <v>0</v>
      </c>
      <c r="Q67" s="18" t="n">
        <v>7.4317683</v>
      </c>
      <c r="R67" s="20" t="n">
        <v>1.37958083</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(2124.0/B75*100)</f>
        <v/>
      </c>
      <c r="D75" s="19" t="n">
        <v>282</v>
      </c>
      <c r="E75" s="18" t="n">
        <v>59.23320198</v>
      </c>
      <c r="F75" s="20" t="n">
        <v>3.44217066</v>
      </c>
      <c r="G75" s="18" t="n">
        <v>25.08870436</v>
      </c>
      <c r="H75" s="20" t="n">
        <v>2.54611197</v>
      </c>
      <c r="I75" s="18" t="s">
        <v>349</v>
      </c>
      <c r="J75" s="20" t="s">
        <v>349</v>
      </c>
      <c r="K75" s="18" t="n">
        <v>0.6244866100000001</v>
      </c>
      <c r="L75" s="20" t="n">
        <v>0.43645137</v>
      </c>
      <c r="M75" s="18" t="n">
        <v>0</v>
      </c>
      <c r="N75" s="20" t="n">
        <v>0</v>
      </c>
      <c r="O75" s="18" t="n">
        <v>0</v>
      </c>
      <c r="P75" s="20" t="n">
        <v>0</v>
      </c>
      <c r="Q75" s="18" t="n">
        <v>15.05360704</v>
      </c>
      <c r="R75" s="20" t="n">
        <v>2.73194301</v>
      </c>
    </row>
    <row r="76" spans="1:18">
      <c r="A76" s="15" t="s">
        <v>418</v>
      </c>
      <c r="B76" s="17" t="n">
        <v>7052</v>
      </c>
      <c r="C76" s="18">
        <f>(6173.0/B76*100)</f>
        <v/>
      </c>
      <c r="D76" s="19" t="n">
        <v>879</v>
      </c>
      <c r="E76" s="18" t="n">
        <v>11.41486178</v>
      </c>
      <c r="F76" s="20" t="n">
        <v>1.23822511</v>
      </c>
      <c r="G76" s="18" t="n">
        <v>31.26818201</v>
      </c>
      <c r="H76" s="20" t="n">
        <v>2.3071325</v>
      </c>
      <c r="I76" s="18" t="s">
        <v>349</v>
      </c>
      <c r="J76" s="20" t="s">
        <v>349</v>
      </c>
      <c r="K76" s="18" t="n">
        <v>0.31381331</v>
      </c>
      <c r="L76" s="20" t="n">
        <v>0.19068453</v>
      </c>
      <c r="M76" s="18" t="n">
        <v>55.04700975</v>
      </c>
      <c r="N76" s="20" t="n">
        <v>2.34138381</v>
      </c>
      <c r="O76" s="18" t="n">
        <v>0</v>
      </c>
      <c r="P76" s="20" t="n">
        <v>0</v>
      </c>
      <c r="Q76" s="18" t="n">
        <v>1.95613315</v>
      </c>
      <c r="R76" s="20" t="n">
        <v>0.46073677</v>
      </c>
    </row>
    <row r="77" spans="1:18">
      <c r="A77" s="15" t="s">
        <v>419</v>
      </c>
      <c r="B77" s="17" t="n">
        <v>2908</v>
      </c>
      <c r="C77" s="18">
        <f>(2560.0/B77*100)</f>
        <v/>
      </c>
      <c r="D77" s="19" t="n">
        <v>348</v>
      </c>
      <c r="E77" s="18" t="n">
        <v>53.89873998</v>
      </c>
      <c r="F77" s="20" t="n">
        <v>2.54965124</v>
      </c>
      <c r="G77" s="18" t="n">
        <v>21.83415208</v>
      </c>
      <c r="H77" s="20" t="n">
        <v>2.53246202</v>
      </c>
      <c r="I77" s="18" t="s">
        <v>349</v>
      </c>
      <c r="J77" s="20" t="s">
        <v>349</v>
      </c>
      <c r="K77" s="18" t="n">
        <v>1.03605522</v>
      </c>
      <c r="L77" s="20" t="n">
        <v>0.58825426</v>
      </c>
      <c r="M77" s="18" t="n">
        <v>0</v>
      </c>
      <c r="N77" s="20" t="n">
        <v>0</v>
      </c>
      <c r="O77" s="18" t="n">
        <v>0</v>
      </c>
      <c r="P77" s="20" t="n">
        <v>0</v>
      </c>
      <c r="Q77" s="18" t="n">
        <v>23.23105272</v>
      </c>
      <c r="R77" s="20" t="n">
        <v>2.37141011</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(3119.0/B11*100)</f>
        <v/>
      </c>
      <c r="D11" s="19" t="n">
        <v>434</v>
      </c>
      <c r="E11" s="18" t="n">
        <v>31.92105432</v>
      </c>
      <c r="F11" s="20" t="n">
        <v>2.80954824</v>
      </c>
      <c r="G11" s="18" t="n">
        <v>31.14546417</v>
      </c>
      <c r="H11" s="20" t="n">
        <v>2.77867897</v>
      </c>
      <c r="I11" s="18" t="s">
        <v>349</v>
      </c>
      <c r="J11" s="20" t="s">
        <v>349</v>
      </c>
      <c r="K11" s="18" t="n">
        <v>0.68681909</v>
      </c>
      <c r="L11" s="20" t="n">
        <v>0.68990205</v>
      </c>
      <c r="M11" s="18" t="n">
        <v>0</v>
      </c>
      <c r="N11" s="20" t="n">
        <v>0</v>
      </c>
      <c r="O11" s="18" t="n">
        <v>0</v>
      </c>
      <c r="P11" s="20" t="n">
        <v>0</v>
      </c>
      <c r="Q11" s="18" t="n">
        <v>36.24666242</v>
      </c>
      <c r="R11" s="20" t="n">
        <v>3.35510671</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(3305.0/B28*100)</f>
        <v/>
      </c>
      <c r="D28" s="19" t="n">
        <v>460</v>
      </c>
      <c r="E28" s="18" t="n">
        <v>57.93603928</v>
      </c>
      <c r="F28" s="20" t="n">
        <v>2.59635041</v>
      </c>
      <c r="G28" s="18" t="n">
        <v>25.97915904</v>
      </c>
      <c r="H28" s="20" t="n">
        <v>2.12069646</v>
      </c>
      <c r="I28" s="18" t="s">
        <v>349</v>
      </c>
      <c r="J28" s="20" t="s">
        <v>349</v>
      </c>
      <c r="K28" s="18" t="n">
        <v>0.3024392</v>
      </c>
      <c r="L28" s="20" t="n">
        <v>0.3368699</v>
      </c>
      <c r="M28" s="18" t="n">
        <v>0.5434919</v>
      </c>
      <c r="N28" s="20" t="n">
        <v>0.45679904</v>
      </c>
      <c r="O28" s="18" t="n">
        <v>0</v>
      </c>
      <c r="P28" s="20" t="n">
        <v>0</v>
      </c>
      <c r="Q28" s="18" t="n">
        <v>15.23887058</v>
      </c>
      <c r="R28" s="20" t="n">
        <v>1.7369934</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(9769.0/B46*100)</f>
        <v/>
      </c>
      <c r="D46" s="19" t="n">
        <v>1299</v>
      </c>
      <c r="E46" s="18" t="n">
        <v>52.66352024</v>
      </c>
      <c r="F46" s="20" t="n">
        <v>1.71045696</v>
      </c>
      <c r="G46" s="18" t="n">
        <v>20.11419853</v>
      </c>
      <c r="H46" s="20" t="n">
        <v>1.43680243</v>
      </c>
      <c r="I46" s="18" t="s">
        <v>349</v>
      </c>
      <c r="J46" s="20" t="s">
        <v>349</v>
      </c>
      <c r="K46" s="18" t="n">
        <v>0.61126152</v>
      </c>
      <c r="L46" s="20" t="n">
        <v>0.42883133</v>
      </c>
      <c r="M46" s="18" t="n">
        <v>0.27523577</v>
      </c>
      <c r="N46" s="20" t="n">
        <v>0.15828073</v>
      </c>
      <c r="O46" s="18" t="n">
        <v>0</v>
      </c>
      <c r="P46" s="20" t="n">
        <v>0</v>
      </c>
      <c r="Q46" s="18" t="n">
        <v>26.33578394</v>
      </c>
      <c r="R46" s="20" t="n">
        <v>1.74660309</v>
      </c>
    </row>
    <row r="47" spans="1:18">
      <c r="A47" s="15" t="s">
        <v>389</v>
      </c>
      <c r="B47" s="17" t="n">
        <v>3105</v>
      </c>
      <c r="C47" s="18">
        <f>(2730.0/B47*100)</f>
        <v/>
      </c>
      <c r="D47" s="19" t="n">
        <v>375</v>
      </c>
      <c r="E47" s="18" t="n">
        <v>27.99106045</v>
      </c>
      <c r="F47" s="20" t="n">
        <v>2.28069557</v>
      </c>
      <c r="G47" s="18" t="n">
        <v>38.70416839</v>
      </c>
      <c r="H47" s="20" t="n">
        <v>2.66047833</v>
      </c>
      <c r="I47" s="18" t="s">
        <v>349</v>
      </c>
      <c r="J47" s="20" t="s">
        <v>349</v>
      </c>
      <c r="K47" s="18" t="n">
        <v>0.81761492</v>
      </c>
      <c r="L47" s="20" t="n">
        <v>0.48732022</v>
      </c>
      <c r="M47" s="18" t="n">
        <v>0</v>
      </c>
      <c r="N47" s="20" t="n">
        <v>0</v>
      </c>
      <c r="O47" s="18" t="n">
        <v>0</v>
      </c>
      <c r="P47" s="20" t="n">
        <v>0</v>
      </c>
      <c r="Q47" s="18" t="n">
        <v>32.48715624</v>
      </c>
      <c r="R47" s="20" t="n">
        <v>2.7194862</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(4913.0/B50*100)</f>
        <v/>
      </c>
      <c r="D50" s="19" t="n">
        <v>724</v>
      </c>
      <c r="E50" s="18" t="n">
        <v>57.87590795</v>
      </c>
      <c r="F50" s="20" t="n">
        <v>2.43845248</v>
      </c>
      <c r="G50" s="18" t="n">
        <v>21.24248838</v>
      </c>
      <c r="H50" s="20" t="n">
        <v>1.77997505</v>
      </c>
      <c r="I50" s="18" t="s">
        <v>349</v>
      </c>
      <c r="J50" s="20" t="s">
        <v>349</v>
      </c>
      <c r="K50" s="18" t="n">
        <v>1.72610192</v>
      </c>
      <c r="L50" s="20" t="n">
        <v>0.87507402</v>
      </c>
      <c r="M50" s="18" t="n">
        <v>0.22381544</v>
      </c>
      <c r="N50" s="20" t="n">
        <v>0.1452972</v>
      </c>
      <c r="O50" s="18" t="n">
        <v>0</v>
      </c>
      <c r="P50" s="20" t="n">
        <v>0</v>
      </c>
      <c r="Q50" s="18" t="n">
        <v>18.93168631</v>
      </c>
      <c r="R50" s="20" t="n">
        <v>2.23702499</v>
      </c>
    </row>
    <row r="51" spans="1:18">
      <c r="A51" s="15" t="s">
        <v>393</v>
      </c>
      <c r="B51" s="17" t="n">
        <v>3372</v>
      </c>
      <c r="C51" s="18">
        <f>(3019.0/B51*100)</f>
        <v/>
      </c>
      <c r="D51" s="19" t="n">
        <v>353</v>
      </c>
      <c r="E51" s="18" t="n">
        <v>47.55651491</v>
      </c>
      <c r="F51" s="20" t="n">
        <v>2.50166125</v>
      </c>
      <c r="G51" s="18" t="n">
        <v>24.13418247</v>
      </c>
      <c r="H51" s="20" t="n">
        <v>2.73627261</v>
      </c>
      <c r="I51" s="18" t="s">
        <v>349</v>
      </c>
      <c r="J51" s="20" t="s">
        <v>349</v>
      </c>
      <c r="K51" s="18" t="n">
        <v>0.30919884</v>
      </c>
      <c r="L51" s="20" t="n">
        <v>0.31699446</v>
      </c>
      <c r="M51" s="18" t="n">
        <v>0</v>
      </c>
      <c r="N51" s="20" t="n">
        <v>0</v>
      </c>
      <c r="O51" s="18" t="n">
        <v>0</v>
      </c>
      <c r="P51" s="20" t="n">
        <v>0</v>
      </c>
      <c r="Q51" s="18" t="n">
        <v>28.00010378</v>
      </c>
      <c r="R51" s="20" t="n">
        <v>2.43493641</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(2453.0/B53*100)</f>
        <v/>
      </c>
      <c r="D53" s="19" t="n">
        <v>358</v>
      </c>
      <c r="E53" s="18" t="n">
        <v>35.02560461</v>
      </c>
      <c r="F53" s="20" t="n">
        <v>2.64560828</v>
      </c>
      <c r="G53" s="18" t="n">
        <v>38.3747294</v>
      </c>
      <c r="H53" s="20" t="n">
        <v>2.55745511</v>
      </c>
      <c r="I53" s="18" t="s">
        <v>349</v>
      </c>
      <c r="J53" s="20" t="s">
        <v>349</v>
      </c>
      <c r="K53" s="18" t="n">
        <v>0.5805971599999999</v>
      </c>
      <c r="L53" s="20" t="n">
        <v>0.43232534</v>
      </c>
      <c r="M53" s="18" t="n">
        <v>0</v>
      </c>
      <c r="N53" s="20" t="n">
        <v>0</v>
      </c>
      <c r="O53" s="18" t="n">
        <v>0</v>
      </c>
      <c r="P53" s="20" t="n">
        <v>0</v>
      </c>
      <c r="Q53" s="18" t="n">
        <v>26.01906883</v>
      </c>
      <c r="R53" s="20" t="n">
        <v>2.2079923</v>
      </c>
    </row>
    <row r="54" spans="1:18">
      <c r="A54" s="15" t="s">
        <v>396</v>
      </c>
      <c r="B54" s="17" t="n">
        <v>2266</v>
      </c>
      <c r="C54" s="18">
        <f>(1895.0/B54*100)</f>
        <v/>
      </c>
      <c r="D54" s="19" t="n">
        <v>371</v>
      </c>
      <c r="E54" s="18" t="n">
        <v>51.48411307</v>
      </c>
      <c r="F54" s="20" t="n">
        <v>2.98837248</v>
      </c>
      <c r="G54" s="18" t="n">
        <v>6.08284934</v>
      </c>
      <c r="H54" s="20" t="n">
        <v>1.39608371</v>
      </c>
      <c r="I54" s="18" t="s">
        <v>349</v>
      </c>
      <c r="J54" s="20" t="s">
        <v>349</v>
      </c>
      <c r="K54" s="18" t="n">
        <v>4.20075843</v>
      </c>
      <c r="L54" s="20" t="n">
        <v>1.14581638</v>
      </c>
      <c r="M54" s="18" t="n">
        <v>1.35361822</v>
      </c>
      <c r="N54" s="20" t="n">
        <v>1.1837397</v>
      </c>
      <c r="O54" s="18" t="n">
        <v>0</v>
      </c>
      <c r="P54" s="20" t="n">
        <v>0</v>
      </c>
      <c r="Q54" s="18" t="n">
        <v>36.87866095</v>
      </c>
      <c r="R54" s="20" t="n">
        <v>2.95465935</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(3097.0/B67*100)</f>
        <v/>
      </c>
      <c r="D67" s="19" t="n">
        <v>414</v>
      </c>
      <c r="E67" s="18" t="n">
        <v>48.05836023</v>
      </c>
      <c r="F67" s="20" t="n">
        <v>2.62612226</v>
      </c>
      <c r="G67" s="18" t="n">
        <v>22.83222171</v>
      </c>
      <c r="H67" s="20" t="n">
        <v>2.37630673</v>
      </c>
      <c r="I67" s="18" t="s">
        <v>349</v>
      </c>
      <c r="J67" s="20" t="s">
        <v>349</v>
      </c>
      <c r="K67" s="18" t="n">
        <v>0</v>
      </c>
      <c r="L67" s="20" t="n">
        <v>0</v>
      </c>
      <c r="M67" s="18" t="n">
        <v>0.42635605</v>
      </c>
      <c r="N67" s="20" t="n">
        <v>0.29923368</v>
      </c>
      <c r="O67" s="18" t="n">
        <v>0</v>
      </c>
      <c r="P67" s="20" t="n">
        <v>0</v>
      </c>
      <c r="Q67" s="18" t="n">
        <v>28.68306201</v>
      </c>
      <c r="R67" s="20" t="n">
        <v>2.58014285</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(2124.0/B75*100)</f>
        <v/>
      </c>
      <c r="D75" s="19" t="n">
        <v>282</v>
      </c>
      <c r="E75" s="18" t="n">
        <v>39.52817384</v>
      </c>
      <c r="F75" s="20" t="n">
        <v>3.04062536</v>
      </c>
      <c r="G75" s="18" t="n">
        <v>30.18894734</v>
      </c>
      <c r="H75" s="20" t="n">
        <v>2.8005713</v>
      </c>
      <c r="I75" s="18" t="s">
        <v>349</v>
      </c>
      <c r="J75" s="20" t="s">
        <v>349</v>
      </c>
      <c r="K75" s="18" t="n">
        <v>1.09265253</v>
      </c>
      <c r="L75" s="20" t="n">
        <v>0.8522694</v>
      </c>
      <c r="M75" s="18" t="n">
        <v>0.67575193</v>
      </c>
      <c r="N75" s="20" t="n">
        <v>0.47478977</v>
      </c>
      <c r="O75" s="18" t="n">
        <v>0</v>
      </c>
      <c r="P75" s="20" t="n">
        <v>0</v>
      </c>
      <c r="Q75" s="18" t="n">
        <v>28.51447436</v>
      </c>
      <c r="R75" s="20" t="n">
        <v>3.11693733</v>
      </c>
    </row>
    <row r="76" spans="1:18">
      <c r="A76" s="15" t="s">
        <v>418</v>
      </c>
      <c r="B76" s="17" t="n">
        <v>7052</v>
      </c>
      <c r="C76" s="18">
        <f>(6172.0/B76*100)</f>
        <v/>
      </c>
      <c r="D76" s="19" t="n">
        <v>880</v>
      </c>
      <c r="E76" s="18" t="n">
        <v>43.54248795</v>
      </c>
      <c r="F76" s="20" t="n">
        <v>2.04373902</v>
      </c>
      <c r="G76" s="18" t="n">
        <v>39.70728402</v>
      </c>
      <c r="H76" s="20" t="n">
        <v>2.07365031</v>
      </c>
      <c r="I76" s="18" t="s">
        <v>349</v>
      </c>
      <c r="J76" s="20" t="s">
        <v>349</v>
      </c>
      <c r="K76" s="18" t="n">
        <v>1.48730914</v>
      </c>
      <c r="L76" s="20" t="n">
        <v>0.48570798</v>
      </c>
      <c r="M76" s="18" t="n">
        <v>0.0590378</v>
      </c>
      <c r="N76" s="20" t="n">
        <v>0.05849631</v>
      </c>
      <c r="O76" s="18" t="n">
        <v>0</v>
      </c>
      <c r="P76" s="20" t="n">
        <v>0</v>
      </c>
      <c r="Q76" s="18" t="n">
        <v>15.2038811</v>
      </c>
      <c r="R76" s="20" t="n">
        <v>1.24365772</v>
      </c>
    </row>
    <row r="77" spans="1:18">
      <c r="A77" s="15" t="s">
        <v>419</v>
      </c>
      <c r="B77" s="17" t="n">
        <v>2908</v>
      </c>
      <c r="C77" s="18">
        <f>(2562.0/B77*100)</f>
        <v/>
      </c>
      <c r="D77" s="19" t="n">
        <v>346</v>
      </c>
      <c r="E77" s="18" t="n">
        <v>28.07728005</v>
      </c>
      <c r="F77" s="20" t="n">
        <v>2.66880632</v>
      </c>
      <c r="G77" s="18" t="n">
        <v>25.0560266</v>
      </c>
      <c r="H77" s="20" t="n">
        <v>2.09731086</v>
      </c>
      <c r="I77" s="18" t="s">
        <v>349</v>
      </c>
      <c r="J77" s="20" t="s">
        <v>349</v>
      </c>
      <c r="K77" s="18" t="n">
        <v>1.35469521</v>
      </c>
      <c r="L77" s="20" t="n">
        <v>0.660982</v>
      </c>
      <c r="M77" s="18" t="n">
        <v>3.44335976</v>
      </c>
      <c r="N77" s="20" t="n">
        <v>0.98796074</v>
      </c>
      <c r="O77" s="18" t="n">
        <v>0</v>
      </c>
      <c r="P77" s="20" t="n">
        <v>0</v>
      </c>
      <c r="Q77" s="18" t="n">
        <v>42.06863838</v>
      </c>
      <c r="R77" s="20" t="n">
        <v>2.89799883</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(3127.0/B11*100)</f>
        <v/>
      </c>
      <c r="D11" s="19" t="n">
        <v>426</v>
      </c>
      <c r="E11" s="18" t="n">
        <v>67.82486617000001</v>
      </c>
      <c r="F11" s="20" t="n">
        <v>3.41861174</v>
      </c>
      <c r="G11" s="18" t="n">
        <v>4.14501915</v>
      </c>
      <c r="H11" s="20" t="n">
        <v>1.05544432</v>
      </c>
      <c r="I11" s="18" t="s">
        <v>349</v>
      </c>
      <c r="J11" s="20" t="s">
        <v>349</v>
      </c>
      <c r="K11" s="18" t="n">
        <v>0.97397148</v>
      </c>
      <c r="L11" s="20" t="n">
        <v>0.75008918</v>
      </c>
      <c r="M11" s="18" t="n">
        <v>0</v>
      </c>
      <c r="N11" s="20" t="n">
        <v>0</v>
      </c>
      <c r="O11" s="18" t="n">
        <v>0</v>
      </c>
      <c r="P11" s="20" t="n">
        <v>0</v>
      </c>
      <c r="Q11" s="18" t="n">
        <v>27.05614321</v>
      </c>
      <c r="R11" s="20" t="n">
        <v>3.34819549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(3320.0/B28*100)</f>
        <v/>
      </c>
      <c r="D28" s="19" t="n">
        <v>445</v>
      </c>
      <c r="E28" s="18" t="n">
        <v>86.55551472000001</v>
      </c>
      <c r="F28" s="20" t="n">
        <v>1.63070322</v>
      </c>
      <c r="G28" s="18" t="n">
        <v>2.81446424</v>
      </c>
      <c r="H28" s="20" t="n">
        <v>0.87677677</v>
      </c>
      <c r="I28" s="18" t="s">
        <v>349</v>
      </c>
      <c r="J28" s="20" t="s">
        <v>349</v>
      </c>
      <c r="K28" s="18" t="n">
        <v>0.31187017</v>
      </c>
      <c r="L28" s="20" t="n">
        <v>0.3473928</v>
      </c>
      <c r="M28" s="18" t="n">
        <v>0.56043963</v>
      </c>
      <c r="N28" s="20" t="n">
        <v>0.47101716</v>
      </c>
      <c r="O28" s="18" t="n">
        <v>0</v>
      </c>
      <c r="P28" s="20" t="n">
        <v>0</v>
      </c>
      <c r="Q28" s="18" t="n">
        <v>9.75771123</v>
      </c>
      <c r="R28" s="20" t="n">
        <v>1.30215958</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(9868.0/B46*100)</f>
        <v/>
      </c>
      <c r="D46" s="19" t="n">
        <v>1200</v>
      </c>
      <c r="E46" s="18" t="n">
        <v>72.11920314</v>
      </c>
      <c r="F46" s="20" t="n">
        <v>1.73344512</v>
      </c>
      <c r="G46" s="18" t="n">
        <v>4.15846632</v>
      </c>
      <c r="H46" s="20" t="n">
        <v>0.82155589</v>
      </c>
      <c r="I46" s="18" t="s">
        <v>349</v>
      </c>
      <c r="J46" s="20" t="s">
        <v>349</v>
      </c>
      <c r="K46" s="18" t="n">
        <v>0.64553412</v>
      </c>
      <c r="L46" s="20" t="n">
        <v>0.45532153</v>
      </c>
      <c r="M46" s="18" t="n">
        <v>0.29066786</v>
      </c>
      <c r="N46" s="20" t="n">
        <v>0.16701657</v>
      </c>
      <c r="O46" s="18" t="n">
        <v>0</v>
      </c>
      <c r="P46" s="20" t="n">
        <v>0</v>
      </c>
      <c r="Q46" s="18" t="n">
        <v>22.78612855</v>
      </c>
      <c r="R46" s="20" t="n">
        <v>1.57168231</v>
      </c>
    </row>
    <row r="47" spans="1:18">
      <c r="A47" s="15" t="s">
        <v>389</v>
      </c>
      <c r="B47" s="17" t="n">
        <v>3105</v>
      </c>
      <c r="C47" s="18">
        <f>(2735.0/B47*100)</f>
        <v/>
      </c>
      <c r="D47" s="19" t="n">
        <v>370</v>
      </c>
      <c r="E47" s="18" t="n">
        <v>69.82036055</v>
      </c>
      <c r="F47" s="20" t="n">
        <v>2.47056431</v>
      </c>
      <c r="G47" s="18" t="n">
        <v>7.80987735</v>
      </c>
      <c r="H47" s="20" t="n">
        <v>1.55016455</v>
      </c>
      <c r="I47" s="18" t="s">
        <v>349</v>
      </c>
      <c r="J47" s="20" t="s">
        <v>349</v>
      </c>
      <c r="K47" s="18" t="n">
        <v>0.83054853</v>
      </c>
      <c r="L47" s="20" t="n">
        <v>0.49442964</v>
      </c>
      <c r="M47" s="18" t="n">
        <v>0</v>
      </c>
      <c r="N47" s="20" t="n">
        <v>0</v>
      </c>
      <c r="O47" s="18" t="n">
        <v>0</v>
      </c>
      <c r="P47" s="20" t="n">
        <v>0</v>
      </c>
      <c r="Q47" s="18" t="n">
        <v>21.53921356</v>
      </c>
      <c r="R47" s="20" t="n">
        <v>2.1966151</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(4921.0/B50*100)</f>
        <v/>
      </c>
      <c r="D50" s="19" t="n">
        <v>716</v>
      </c>
      <c r="E50" s="18" t="n">
        <v>82.86459712</v>
      </c>
      <c r="F50" s="20" t="n">
        <v>1.75254637</v>
      </c>
      <c r="G50" s="18" t="n">
        <v>1.94944196</v>
      </c>
      <c r="H50" s="20" t="n">
        <v>0.64053189</v>
      </c>
      <c r="I50" s="18" t="s">
        <v>349</v>
      </c>
      <c r="J50" s="20" t="s">
        <v>349</v>
      </c>
      <c r="K50" s="18" t="n">
        <v>1.7986581</v>
      </c>
      <c r="L50" s="20" t="n">
        <v>0.89058327</v>
      </c>
      <c r="M50" s="18" t="n">
        <v>0.18252935</v>
      </c>
      <c r="N50" s="20" t="n">
        <v>0.14068074</v>
      </c>
      <c r="O50" s="18" t="n">
        <v>0</v>
      </c>
      <c r="P50" s="20" t="n">
        <v>0</v>
      </c>
      <c r="Q50" s="18" t="n">
        <v>13.20477348</v>
      </c>
      <c r="R50" s="20" t="n">
        <v>1.55576134</v>
      </c>
    </row>
    <row r="51" spans="1:18">
      <c r="A51" s="15" t="s">
        <v>393</v>
      </c>
      <c r="B51" s="17" t="n">
        <v>3372</v>
      </c>
      <c r="C51" s="18">
        <f>(3031.0/B51*100)</f>
        <v/>
      </c>
      <c r="D51" s="19" t="n">
        <v>341</v>
      </c>
      <c r="E51" s="18" t="n">
        <v>81.29807667</v>
      </c>
      <c r="F51" s="20" t="n">
        <v>2.23487825</v>
      </c>
      <c r="G51" s="18" t="n">
        <v>2.63560747</v>
      </c>
      <c r="H51" s="20" t="n">
        <v>0.86776879</v>
      </c>
      <c r="I51" s="18" t="s">
        <v>349</v>
      </c>
      <c r="J51" s="20" t="s">
        <v>349</v>
      </c>
      <c r="K51" s="18" t="n">
        <v>0.5263840400000001</v>
      </c>
      <c r="L51" s="20" t="n">
        <v>0.37451098</v>
      </c>
      <c r="M51" s="18" t="n">
        <v>0</v>
      </c>
      <c r="N51" s="20" t="n">
        <v>0</v>
      </c>
      <c r="O51" s="18" t="n">
        <v>0</v>
      </c>
      <c r="P51" s="20" t="n">
        <v>0</v>
      </c>
      <c r="Q51" s="18" t="n">
        <v>15.53993182</v>
      </c>
      <c r="R51" s="20" t="n">
        <v>2.13368839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(2456.0/B53*100)</f>
        <v/>
      </c>
      <c r="D53" s="19" t="n">
        <v>355</v>
      </c>
      <c r="E53" s="18" t="n">
        <v>79.15254684</v>
      </c>
      <c r="F53" s="20" t="n">
        <v>2.34980235</v>
      </c>
      <c r="G53" s="18" t="n">
        <v>2.71378419</v>
      </c>
      <c r="H53" s="20" t="n">
        <v>1.06083871</v>
      </c>
      <c r="I53" s="18" t="s">
        <v>349</v>
      </c>
      <c r="J53" s="20" t="s">
        <v>349</v>
      </c>
      <c r="K53" s="18" t="n">
        <v>0.58611491</v>
      </c>
      <c r="L53" s="20" t="n">
        <v>0.43603383</v>
      </c>
      <c r="M53" s="18" t="n">
        <v>0</v>
      </c>
      <c r="N53" s="20" t="n">
        <v>0</v>
      </c>
      <c r="O53" s="18" t="n">
        <v>0</v>
      </c>
      <c r="P53" s="20" t="n">
        <v>0</v>
      </c>
      <c r="Q53" s="18" t="n">
        <v>17.54755406</v>
      </c>
      <c r="R53" s="20" t="n">
        <v>2.25486547</v>
      </c>
    </row>
    <row r="54" spans="1:18">
      <c r="A54" s="15" t="s">
        <v>396</v>
      </c>
      <c r="B54" s="17" t="n">
        <v>2266</v>
      </c>
      <c r="C54" s="18">
        <f>(1895.0/B54*100)</f>
        <v/>
      </c>
      <c r="D54" s="19" t="n">
        <v>371</v>
      </c>
      <c r="E54" s="18" t="n">
        <v>71.06678879</v>
      </c>
      <c r="F54" s="20" t="n">
        <v>2.50642564</v>
      </c>
      <c r="G54" s="18" t="n">
        <v>1.44734394</v>
      </c>
      <c r="H54" s="20" t="n">
        <v>0.66661405</v>
      </c>
      <c r="I54" s="18" t="s">
        <v>349</v>
      </c>
      <c r="J54" s="20" t="s">
        <v>349</v>
      </c>
      <c r="K54" s="18" t="n">
        <v>4.92995598</v>
      </c>
      <c r="L54" s="20" t="n">
        <v>1.22400636</v>
      </c>
      <c r="M54" s="18" t="n">
        <v>1.35361822</v>
      </c>
      <c r="N54" s="20" t="n">
        <v>1.1837397</v>
      </c>
      <c r="O54" s="18" t="n">
        <v>0</v>
      </c>
      <c r="P54" s="20" t="n">
        <v>0</v>
      </c>
      <c r="Q54" s="18" t="n">
        <v>21.20229307</v>
      </c>
      <c r="R54" s="20" t="n">
        <v>2.266319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(3123.0/B67*100)</f>
        <v/>
      </c>
      <c r="D67" s="19" t="n">
        <v>388</v>
      </c>
      <c r="E67" s="18" t="n">
        <v>78.70774747</v>
      </c>
      <c r="F67" s="20" t="n">
        <v>2.18829585</v>
      </c>
      <c r="G67" s="18" t="n">
        <v>1.30725947</v>
      </c>
      <c r="H67" s="20" t="n">
        <v>0.31445982</v>
      </c>
      <c r="I67" s="18" t="s">
        <v>349</v>
      </c>
      <c r="J67" s="20" t="s">
        <v>349</v>
      </c>
      <c r="K67" s="18" t="n">
        <v>0</v>
      </c>
      <c r="L67" s="20" t="n">
        <v>0</v>
      </c>
      <c r="M67" s="18" t="n">
        <v>0.45635081</v>
      </c>
      <c r="N67" s="20" t="n">
        <v>0.32010821</v>
      </c>
      <c r="O67" s="18" t="n">
        <v>0</v>
      </c>
      <c r="P67" s="20" t="n">
        <v>0</v>
      </c>
      <c r="Q67" s="18" t="n">
        <v>19.52864225</v>
      </c>
      <c r="R67" s="20" t="n">
        <v>2.06587097</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(2134.0/B75*100)</f>
        <v/>
      </c>
      <c r="D75" s="19" t="n">
        <v>272</v>
      </c>
      <c r="E75" s="18" t="n">
        <v>68.39080233999999</v>
      </c>
      <c r="F75" s="20" t="n">
        <v>2.78671586</v>
      </c>
      <c r="G75" s="18" t="n">
        <v>15.95910945</v>
      </c>
      <c r="H75" s="20" t="n">
        <v>2.16383738</v>
      </c>
      <c r="I75" s="18" t="s">
        <v>349</v>
      </c>
      <c r="J75" s="20" t="s">
        <v>349</v>
      </c>
      <c r="K75" s="18" t="n">
        <v>1.13330221</v>
      </c>
      <c r="L75" s="20" t="n">
        <v>0.88527698</v>
      </c>
      <c r="M75" s="18" t="n">
        <v>0.70089176</v>
      </c>
      <c r="N75" s="20" t="n">
        <v>0.49244998</v>
      </c>
      <c r="O75" s="18" t="n">
        <v>0</v>
      </c>
      <c r="P75" s="20" t="n">
        <v>0</v>
      </c>
      <c r="Q75" s="18" t="n">
        <v>13.81589424</v>
      </c>
      <c r="R75" s="20" t="n">
        <v>2.09038195</v>
      </c>
    </row>
    <row r="76" spans="1:18">
      <c r="A76" s="15" t="s">
        <v>418</v>
      </c>
      <c r="B76" s="17" t="n">
        <v>7052</v>
      </c>
      <c r="C76" s="18">
        <f>(6172.0/B76*100)</f>
        <v/>
      </c>
      <c r="D76" s="19" t="n">
        <v>880</v>
      </c>
      <c r="E76" s="18" t="n">
        <v>80.90013968</v>
      </c>
      <c r="F76" s="20" t="n">
        <v>1.82349683</v>
      </c>
      <c r="G76" s="18" t="n">
        <v>4.56552756</v>
      </c>
      <c r="H76" s="20" t="n">
        <v>0.7883845900000001</v>
      </c>
      <c r="I76" s="18" t="s">
        <v>349</v>
      </c>
      <c r="J76" s="20" t="s">
        <v>349</v>
      </c>
      <c r="K76" s="18" t="n">
        <v>1.71519625</v>
      </c>
      <c r="L76" s="20" t="n">
        <v>0.56045618</v>
      </c>
      <c r="M76" s="18" t="n">
        <v>0.05896992</v>
      </c>
      <c r="N76" s="20" t="n">
        <v>0.05845397</v>
      </c>
      <c r="O76" s="18" t="n">
        <v>0</v>
      </c>
      <c r="P76" s="20" t="n">
        <v>0</v>
      </c>
      <c r="Q76" s="18" t="n">
        <v>12.76016659</v>
      </c>
      <c r="R76" s="20" t="n">
        <v>1.45748265</v>
      </c>
    </row>
    <row r="77" spans="1:18">
      <c r="A77" s="15" t="s">
        <v>419</v>
      </c>
      <c r="B77" s="17" t="n">
        <v>2908</v>
      </c>
      <c r="C77" s="18">
        <f>(2563.0/B77*100)</f>
        <v/>
      </c>
      <c r="D77" s="19" t="n">
        <v>345</v>
      </c>
      <c r="E77" s="18" t="n">
        <v>67.03999648999999</v>
      </c>
      <c r="F77" s="20" t="n">
        <v>2.89526248</v>
      </c>
      <c r="G77" s="18" t="n">
        <v>3.70235448</v>
      </c>
      <c r="H77" s="20" t="n">
        <v>0.9205721100000001</v>
      </c>
      <c r="I77" s="18" t="s">
        <v>349</v>
      </c>
      <c r="J77" s="20" t="s">
        <v>349</v>
      </c>
      <c r="K77" s="18" t="n">
        <v>1.6765106</v>
      </c>
      <c r="L77" s="20" t="n">
        <v>0.7283908100000001</v>
      </c>
      <c r="M77" s="18" t="n">
        <v>3.45504464</v>
      </c>
      <c r="N77" s="20" t="n">
        <v>0.99202145</v>
      </c>
      <c r="O77" s="18" t="n">
        <v>0</v>
      </c>
      <c r="P77" s="20" t="n">
        <v>0</v>
      </c>
      <c r="Q77" s="18" t="n">
        <v>24.12609379</v>
      </c>
      <c r="R77" s="20" t="n">
        <v>2.62176722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(3123.0/B11*100)</f>
        <v/>
      </c>
      <c r="D11" s="19" t="n">
        <v>430</v>
      </c>
      <c r="E11" s="18" t="n">
        <v>42.31986402</v>
      </c>
      <c r="F11" s="20" t="n">
        <v>3.03975555</v>
      </c>
      <c r="G11" s="18" t="n">
        <v>46.98921774</v>
      </c>
      <c r="H11" s="20" t="n">
        <v>3.34957898</v>
      </c>
      <c r="I11" s="18" t="s">
        <v>349</v>
      </c>
      <c r="J11" s="20" t="s">
        <v>349</v>
      </c>
      <c r="K11" s="18" t="n">
        <v>1.15799942</v>
      </c>
      <c r="L11" s="20" t="n">
        <v>0.7662189700000001</v>
      </c>
      <c r="M11" s="18" t="n">
        <v>0</v>
      </c>
      <c r="N11" s="20" t="n">
        <v>0</v>
      </c>
      <c r="O11" s="18" t="n">
        <v>0</v>
      </c>
      <c r="P11" s="20" t="n">
        <v>0</v>
      </c>
      <c r="Q11" s="18" t="n">
        <v>9.53291883</v>
      </c>
      <c r="R11" s="20" t="n">
        <v>1.84972796</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(3314.0/B28*100)</f>
        <v/>
      </c>
      <c r="D28" s="19" t="n">
        <v>451</v>
      </c>
      <c r="E28" s="18" t="n">
        <v>56.68767506</v>
      </c>
      <c r="F28" s="20" t="n">
        <v>2.75829186</v>
      </c>
      <c r="G28" s="18" t="n">
        <v>36.85316644</v>
      </c>
      <c r="H28" s="20" t="n">
        <v>2.58347756</v>
      </c>
      <c r="I28" s="18" t="s">
        <v>349</v>
      </c>
      <c r="J28" s="20" t="s">
        <v>349</v>
      </c>
      <c r="K28" s="18" t="n">
        <v>0.62398367</v>
      </c>
      <c r="L28" s="20" t="n">
        <v>0.40807696</v>
      </c>
      <c r="M28" s="18" t="n">
        <v>0</v>
      </c>
      <c r="N28" s="20" t="n">
        <v>0</v>
      </c>
      <c r="O28" s="18" t="n">
        <v>0</v>
      </c>
      <c r="P28" s="20" t="n">
        <v>0</v>
      </c>
      <c r="Q28" s="18" t="n">
        <v>5.83517483</v>
      </c>
      <c r="R28" s="20" t="n">
        <v>1.45682648</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(9832.0/B46*100)</f>
        <v/>
      </c>
      <c r="D46" s="19" t="n">
        <v>1236</v>
      </c>
      <c r="E46" s="18" t="n">
        <v>49.58177527</v>
      </c>
      <c r="F46" s="20" t="n">
        <v>2.24046636</v>
      </c>
      <c r="G46" s="18" t="n">
        <v>34.87887035</v>
      </c>
      <c r="H46" s="20" t="n">
        <v>2.01504089</v>
      </c>
      <c r="I46" s="18" t="s">
        <v>349</v>
      </c>
      <c r="J46" s="20" t="s">
        <v>349</v>
      </c>
      <c r="K46" s="18" t="n">
        <v>0.82654326</v>
      </c>
      <c r="L46" s="20" t="n">
        <v>0.4467546</v>
      </c>
      <c r="M46" s="18" t="n">
        <v>0</v>
      </c>
      <c r="N46" s="20" t="n">
        <v>0</v>
      </c>
      <c r="O46" s="18" t="n">
        <v>0</v>
      </c>
      <c r="P46" s="20" t="n">
        <v>0</v>
      </c>
      <c r="Q46" s="18" t="n">
        <v>14.71281112</v>
      </c>
      <c r="R46" s="20" t="n">
        <v>1.24671504</v>
      </c>
    </row>
    <row r="47" spans="1:18">
      <c r="A47" s="15" t="s">
        <v>389</v>
      </c>
      <c r="B47" s="17" t="n">
        <v>3105</v>
      </c>
      <c r="C47" s="18">
        <f>(2734.0/B47*100)</f>
        <v/>
      </c>
      <c r="D47" s="19" t="n">
        <v>371</v>
      </c>
      <c r="E47" s="18" t="n">
        <v>43.67938472</v>
      </c>
      <c r="F47" s="20" t="n">
        <v>2.90298335</v>
      </c>
      <c r="G47" s="18" t="n">
        <v>44.14397757</v>
      </c>
      <c r="H47" s="20" t="n">
        <v>3.13349717</v>
      </c>
      <c r="I47" s="18" t="s">
        <v>349</v>
      </c>
      <c r="J47" s="20" t="s">
        <v>349</v>
      </c>
      <c r="K47" s="18" t="n">
        <v>0.82802989</v>
      </c>
      <c r="L47" s="20" t="n">
        <v>0.49288319</v>
      </c>
      <c r="M47" s="18" t="n">
        <v>0</v>
      </c>
      <c r="N47" s="20" t="n">
        <v>0</v>
      </c>
      <c r="O47" s="18" t="n">
        <v>0</v>
      </c>
      <c r="P47" s="20" t="n">
        <v>0</v>
      </c>
      <c r="Q47" s="18" t="n">
        <v>11.34860782</v>
      </c>
      <c r="R47" s="20" t="n">
        <v>1.96703429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(4918.0/B50*100)</f>
        <v/>
      </c>
      <c r="D50" s="19" t="n">
        <v>719</v>
      </c>
      <c r="E50" s="18" t="n">
        <v>56.73030837</v>
      </c>
      <c r="F50" s="20" t="n">
        <v>2.69239627</v>
      </c>
      <c r="G50" s="18" t="n">
        <v>33.99188888</v>
      </c>
      <c r="H50" s="20" t="n">
        <v>2.66061943</v>
      </c>
      <c r="I50" s="18" t="s">
        <v>349</v>
      </c>
      <c r="J50" s="20" t="s">
        <v>349</v>
      </c>
      <c r="K50" s="18" t="n">
        <v>2.05970497</v>
      </c>
      <c r="L50" s="20" t="n">
        <v>0.91987775</v>
      </c>
      <c r="M50" s="18" t="n">
        <v>0</v>
      </c>
      <c r="N50" s="20" t="n">
        <v>0</v>
      </c>
      <c r="O50" s="18" t="n">
        <v>0</v>
      </c>
      <c r="P50" s="20" t="n">
        <v>0</v>
      </c>
      <c r="Q50" s="18" t="n">
        <v>7.21809778</v>
      </c>
      <c r="R50" s="20" t="n">
        <v>1.38711353</v>
      </c>
    </row>
    <row r="51" spans="1:18">
      <c r="A51" s="15" t="s">
        <v>393</v>
      </c>
      <c r="B51" s="17" t="n">
        <v>3372</v>
      </c>
      <c r="C51" s="18">
        <f>(3026.0/B51*100)</f>
        <v/>
      </c>
      <c r="D51" s="19" t="n">
        <v>346</v>
      </c>
      <c r="E51" s="18" t="n">
        <v>49.56472603</v>
      </c>
      <c r="F51" s="20" t="n">
        <v>2.7545259</v>
      </c>
      <c r="G51" s="18" t="n">
        <v>37.74603342</v>
      </c>
      <c r="H51" s="20" t="n">
        <v>2.69763103</v>
      </c>
      <c r="I51" s="18" t="s">
        <v>349</v>
      </c>
      <c r="J51" s="20" t="s">
        <v>349</v>
      </c>
      <c r="K51" s="18" t="n">
        <v>0.66127202</v>
      </c>
      <c r="L51" s="20" t="n">
        <v>0.39783294</v>
      </c>
      <c r="M51" s="18" t="n">
        <v>0</v>
      </c>
      <c r="N51" s="20" t="n">
        <v>0</v>
      </c>
      <c r="O51" s="18" t="n">
        <v>0</v>
      </c>
      <c r="P51" s="20" t="n">
        <v>0</v>
      </c>
      <c r="Q51" s="18" t="n">
        <v>12.02796853</v>
      </c>
      <c r="R51" s="20" t="n">
        <v>1.88156211</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(2454.0/B53*100)</f>
        <v/>
      </c>
      <c r="D53" s="19" t="n">
        <v>357</v>
      </c>
      <c r="E53" s="18" t="n">
        <v>44.48200208</v>
      </c>
      <c r="F53" s="20" t="n">
        <v>2.54121286</v>
      </c>
      <c r="G53" s="18" t="n">
        <v>44.33131652</v>
      </c>
      <c r="H53" s="20" t="n">
        <v>2.89495186</v>
      </c>
      <c r="I53" s="18" t="s">
        <v>349</v>
      </c>
      <c r="J53" s="20" t="s">
        <v>349</v>
      </c>
      <c r="K53" s="18" t="n">
        <v>0.58291773</v>
      </c>
      <c r="L53" s="20" t="n">
        <v>0.43409141</v>
      </c>
      <c r="M53" s="18" t="n">
        <v>0</v>
      </c>
      <c r="N53" s="20" t="n">
        <v>0</v>
      </c>
      <c r="O53" s="18" t="n">
        <v>0</v>
      </c>
      <c r="P53" s="20" t="n">
        <v>0</v>
      </c>
      <c r="Q53" s="18" t="n">
        <v>10.60376366</v>
      </c>
      <c r="R53" s="20" t="n">
        <v>1.67853431</v>
      </c>
    </row>
    <row r="54" spans="1:18">
      <c r="A54" s="15" t="s">
        <v>396</v>
      </c>
      <c r="B54" s="17" t="n">
        <v>2266</v>
      </c>
      <c r="C54" s="18">
        <f>(1895.0/B54*100)</f>
        <v/>
      </c>
      <c r="D54" s="19" t="n">
        <v>371</v>
      </c>
      <c r="E54" s="18" t="n">
        <v>66.88053647</v>
      </c>
      <c r="F54" s="20" t="n">
        <v>2.87237486</v>
      </c>
      <c r="G54" s="18" t="n">
        <v>13.25367251</v>
      </c>
      <c r="H54" s="20" t="n">
        <v>2.08017357</v>
      </c>
      <c r="I54" s="18" t="s">
        <v>349</v>
      </c>
      <c r="J54" s="20" t="s">
        <v>349</v>
      </c>
      <c r="K54" s="18" t="n">
        <v>6.71999485</v>
      </c>
      <c r="L54" s="20" t="n">
        <v>1.47856223</v>
      </c>
      <c r="M54" s="18" t="n">
        <v>0</v>
      </c>
      <c r="N54" s="20" t="n">
        <v>0</v>
      </c>
      <c r="O54" s="18" t="n">
        <v>0</v>
      </c>
      <c r="P54" s="20" t="n">
        <v>0</v>
      </c>
      <c r="Q54" s="18" t="n">
        <v>13.14579617</v>
      </c>
      <c r="R54" s="20" t="n">
        <v>2.21167406</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(3107.0/B67*100)</f>
        <v/>
      </c>
      <c r="D67" s="19" t="n">
        <v>404</v>
      </c>
      <c r="E67" s="18" t="n">
        <v>48.44720007</v>
      </c>
      <c r="F67" s="20" t="n">
        <v>2.45860514</v>
      </c>
      <c r="G67" s="18" t="n">
        <v>45.74910443</v>
      </c>
      <c r="H67" s="20" t="n">
        <v>2.369083</v>
      </c>
      <c r="I67" s="18" t="s">
        <v>349</v>
      </c>
      <c r="J67" s="20" t="s">
        <v>349</v>
      </c>
      <c r="K67" s="18" t="n">
        <v>0</v>
      </c>
      <c r="L67" s="20" t="n">
        <v>0</v>
      </c>
      <c r="M67" s="18" t="n">
        <v>0</v>
      </c>
      <c r="N67" s="20" t="n">
        <v>0</v>
      </c>
      <c r="O67" s="18" t="n">
        <v>0</v>
      </c>
      <c r="P67" s="20" t="n">
        <v>0</v>
      </c>
      <c r="Q67" s="18" t="n">
        <v>5.80369549</v>
      </c>
      <c r="R67" s="20" t="n">
        <v>1.24339595</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(2130.0/B75*100)</f>
        <v/>
      </c>
      <c r="D75" s="19" t="n">
        <v>276</v>
      </c>
      <c r="E75" s="18" t="n">
        <v>64.35691898</v>
      </c>
      <c r="F75" s="20" t="n">
        <v>2.83613094</v>
      </c>
      <c r="G75" s="18" t="n">
        <v>23.29003389</v>
      </c>
      <c r="H75" s="20" t="n">
        <v>2.88052106</v>
      </c>
      <c r="I75" s="18" t="s">
        <v>349</v>
      </c>
      <c r="J75" s="20" t="s">
        <v>349</v>
      </c>
      <c r="K75" s="18" t="n">
        <v>2.01885787</v>
      </c>
      <c r="L75" s="20" t="n">
        <v>0.9843467299999999</v>
      </c>
      <c r="M75" s="18" t="n">
        <v>0</v>
      </c>
      <c r="N75" s="20" t="n">
        <v>0</v>
      </c>
      <c r="O75" s="18" t="n">
        <v>0</v>
      </c>
      <c r="P75" s="20" t="n">
        <v>0</v>
      </c>
      <c r="Q75" s="18" t="n">
        <v>10.33418927</v>
      </c>
      <c r="R75" s="20" t="n">
        <v>1.89768406</v>
      </c>
    </row>
    <row r="76" spans="1:18">
      <c r="A76" s="15" t="s">
        <v>418</v>
      </c>
      <c r="B76" s="17" t="n">
        <v>7052</v>
      </c>
      <c r="C76" s="18">
        <f>(6173.0/B76*100)</f>
        <v/>
      </c>
      <c r="D76" s="19" t="n">
        <v>879</v>
      </c>
      <c r="E76" s="18" t="n">
        <v>46.73757359</v>
      </c>
      <c r="F76" s="20" t="n">
        <v>2.36227266</v>
      </c>
      <c r="G76" s="18" t="n">
        <v>42.54869752</v>
      </c>
      <c r="H76" s="20" t="n">
        <v>2.26354097</v>
      </c>
      <c r="I76" s="18" t="s">
        <v>349</v>
      </c>
      <c r="J76" s="20" t="s">
        <v>349</v>
      </c>
      <c r="K76" s="18" t="n">
        <v>2.00367368</v>
      </c>
      <c r="L76" s="20" t="n">
        <v>0.62078764</v>
      </c>
      <c r="M76" s="18" t="n">
        <v>0</v>
      </c>
      <c r="N76" s="20" t="n">
        <v>0</v>
      </c>
      <c r="O76" s="18" t="n">
        <v>0</v>
      </c>
      <c r="P76" s="20" t="n">
        <v>0</v>
      </c>
      <c r="Q76" s="18" t="n">
        <v>8.710055199999999</v>
      </c>
      <c r="R76" s="20" t="n">
        <v>1.14474271</v>
      </c>
    </row>
    <row r="77" spans="1:18">
      <c r="A77" s="15" t="s">
        <v>419</v>
      </c>
      <c r="B77" s="17" t="n">
        <v>2908</v>
      </c>
      <c r="C77" s="18">
        <f>(2563.0/B77*100)</f>
        <v/>
      </c>
      <c r="D77" s="19" t="n">
        <v>345</v>
      </c>
      <c r="E77" s="18" t="n">
        <v>47.65343445</v>
      </c>
      <c r="F77" s="20" t="n">
        <v>3.0389647</v>
      </c>
      <c r="G77" s="18" t="n">
        <v>39.22828797</v>
      </c>
      <c r="H77" s="20" t="n">
        <v>3.01593316</v>
      </c>
      <c r="I77" s="18" t="s">
        <v>349</v>
      </c>
      <c r="J77" s="20" t="s">
        <v>349</v>
      </c>
      <c r="K77" s="18" t="n">
        <v>1.6765106</v>
      </c>
      <c r="L77" s="20" t="n">
        <v>0.7283908100000001</v>
      </c>
      <c r="M77" s="18" t="n">
        <v>0</v>
      </c>
      <c r="N77" s="20" t="n">
        <v>0</v>
      </c>
      <c r="O77" s="18" t="n">
        <v>0</v>
      </c>
      <c r="P77" s="20" t="n">
        <v>0</v>
      </c>
      <c r="Q77" s="18" t="n">
        <v>11.44176698</v>
      </c>
      <c r="R77" s="20" t="n">
        <v>2.00773782</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528</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3553</v>
      </c>
      <c r="C11" s="18">
        <f>(3127.0/B11*100)</f>
        <v/>
      </c>
      <c r="D11" s="19" t="n">
        <v>426</v>
      </c>
      <c r="E11" s="18" t="n">
        <v>22.99486656</v>
      </c>
      <c r="F11" s="20" t="n">
        <v>2.23913753</v>
      </c>
      <c r="G11" s="18" t="n">
        <v>23.75805654</v>
      </c>
      <c r="H11" s="20" t="n">
        <v>2.63611815</v>
      </c>
      <c r="I11" s="18" t="n">
        <v>28.78776456</v>
      </c>
      <c r="J11" s="20" t="n">
        <v>2.48183125</v>
      </c>
      <c r="K11" s="18" t="s">
        <v>349</v>
      </c>
      <c r="L11" s="20" t="s">
        <v>349</v>
      </c>
      <c r="M11" s="18" t="n">
        <v>1.50890186</v>
      </c>
      <c r="N11" s="20" t="n">
        <v>0.82104107</v>
      </c>
      <c r="O11" s="18" t="n">
        <v>0</v>
      </c>
      <c r="P11" s="20" t="n">
        <v>0</v>
      </c>
      <c r="Q11" s="18" t="n">
        <v>0</v>
      </c>
      <c r="R11" s="20" t="n">
        <v>0</v>
      </c>
      <c r="S11" s="18" t="n">
        <v>22.95041049</v>
      </c>
      <c r="T11" s="20" t="n">
        <v>3.27664564</v>
      </c>
    </row>
    <row r="12" spans="1:20">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3765</v>
      </c>
      <c r="C28" s="18">
        <f>(3320.0/B28*100)</f>
        <v/>
      </c>
      <c r="D28" s="19" t="n">
        <v>445</v>
      </c>
      <c r="E28" s="18" t="n">
        <v>45.88499938</v>
      </c>
      <c r="F28" s="20" t="n">
        <v>2.52307558</v>
      </c>
      <c r="G28" s="18" t="n">
        <v>23.00142337</v>
      </c>
      <c r="H28" s="20" t="n">
        <v>2.22815562</v>
      </c>
      <c r="I28" s="18" t="n">
        <v>19.97238917</v>
      </c>
      <c r="J28" s="20" t="n">
        <v>2.06189942</v>
      </c>
      <c r="K28" s="18" t="s">
        <v>349</v>
      </c>
      <c r="L28" s="20" t="s">
        <v>349</v>
      </c>
      <c r="M28" s="18" t="n">
        <v>0.85566695</v>
      </c>
      <c r="N28" s="20" t="n">
        <v>0.4640869</v>
      </c>
      <c r="O28" s="18" t="n">
        <v>0.56043963</v>
      </c>
      <c r="P28" s="20" t="n">
        <v>0.47101716</v>
      </c>
      <c r="Q28" s="18" t="n">
        <v>0</v>
      </c>
      <c r="R28" s="20" t="n">
        <v>0</v>
      </c>
      <c r="S28" s="18" t="n">
        <v>9.7250815</v>
      </c>
      <c r="T28" s="20" t="n">
        <v>1.68234872</v>
      </c>
    </row>
    <row r="29" spans="1:20">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11068</v>
      </c>
      <c r="C46" s="18">
        <f>(9867.0/B46*100)</f>
        <v/>
      </c>
      <c r="D46" s="19" t="n">
        <v>1201</v>
      </c>
      <c r="E46" s="18" t="n">
        <v>32.04256225</v>
      </c>
      <c r="F46" s="20" t="n">
        <v>1.74066653</v>
      </c>
      <c r="G46" s="18" t="n">
        <v>22.19200707</v>
      </c>
      <c r="H46" s="20" t="n">
        <v>1.7806175</v>
      </c>
      <c r="I46" s="18" t="n">
        <v>19.00375765</v>
      </c>
      <c r="J46" s="20" t="n">
        <v>1.60731277</v>
      </c>
      <c r="K46" s="18" t="s">
        <v>349</v>
      </c>
      <c r="L46" s="20" t="s">
        <v>349</v>
      </c>
      <c r="M46" s="18" t="n">
        <v>1.12263654</v>
      </c>
      <c r="N46" s="20" t="n">
        <v>0.55616539</v>
      </c>
      <c r="O46" s="18" t="n">
        <v>0.29061278</v>
      </c>
      <c r="P46" s="20" t="n">
        <v>0.16698835</v>
      </c>
      <c r="Q46" s="18" t="n">
        <v>0</v>
      </c>
      <c r="R46" s="20" t="n">
        <v>0</v>
      </c>
      <c r="S46" s="18" t="n">
        <v>25.34842371</v>
      </c>
      <c r="T46" s="20" t="n">
        <v>1.7305251</v>
      </c>
    </row>
    <row r="47" spans="1:20">
      <c r="A47" s="15" t="s">
        <v>389</v>
      </c>
      <c r="B47" s="17" t="n">
        <v>3105</v>
      </c>
      <c r="C47" s="18">
        <f>(2735.0/B47*100)</f>
        <v/>
      </c>
      <c r="D47" s="19" t="n">
        <v>370</v>
      </c>
      <c r="E47" s="18" t="n">
        <v>20.38704283</v>
      </c>
      <c r="F47" s="20" t="n">
        <v>1.98665074</v>
      </c>
      <c r="G47" s="18" t="n">
        <v>17.95594806</v>
      </c>
      <c r="H47" s="20" t="n">
        <v>2.03127085</v>
      </c>
      <c r="I47" s="18" t="n">
        <v>28.64852943</v>
      </c>
      <c r="J47" s="20" t="n">
        <v>2.68584734</v>
      </c>
      <c r="K47" s="18" t="s">
        <v>349</v>
      </c>
      <c r="L47" s="20" t="s">
        <v>349</v>
      </c>
      <c r="M47" s="18" t="n">
        <v>0.83054853</v>
      </c>
      <c r="N47" s="20" t="n">
        <v>0.49442964</v>
      </c>
      <c r="O47" s="18" t="n">
        <v>0</v>
      </c>
      <c r="P47" s="20" t="n">
        <v>0</v>
      </c>
      <c r="Q47" s="18" t="n">
        <v>0</v>
      </c>
      <c r="R47" s="20" t="n">
        <v>0</v>
      </c>
      <c r="S47" s="18" t="n">
        <v>32.17793114</v>
      </c>
      <c r="T47" s="20" t="n">
        <v>2.84555967</v>
      </c>
    </row>
    <row r="48" spans="1:20">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5637</v>
      </c>
      <c r="C50" s="18">
        <f>(4920.0/B50*100)</f>
        <v/>
      </c>
      <c r="D50" s="19" t="n">
        <v>717</v>
      </c>
      <c r="E50" s="18" t="n">
        <v>36.80876296</v>
      </c>
      <c r="F50" s="20" t="n">
        <v>2.52081758</v>
      </c>
      <c r="G50" s="18" t="n">
        <v>28.34733635</v>
      </c>
      <c r="H50" s="20" t="n">
        <v>2.08612385</v>
      </c>
      <c r="I50" s="18" t="n">
        <v>21.64979839</v>
      </c>
      <c r="J50" s="20" t="n">
        <v>2.3024699</v>
      </c>
      <c r="K50" s="18" t="s">
        <v>349</v>
      </c>
      <c r="L50" s="20" t="s">
        <v>349</v>
      </c>
      <c r="M50" s="18" t="n">
        <v>2.41309903</v>
      </c>
      <c r="N50" s="20" t="n">
        <v>0.97918436</v>
      </c>
      <c r="O50" s="18" t="n">
        <v>0.18203401</v>
      </c>
      <c r="P50" s="20" t="n">
        <v>0.14030241</v>
      </c>
      <c r="Q50" s="18" t="n">
        <v>0</v>
      </c>
      <c r="R50" s="20" t="n">
        <v>0</v>
      </c>
      <c r="S50" s="18" t="n">
        <v>10.59896926</v>
      </c>
      <c r="T50" s="20" t="n">
        <v>1.72891905</v>
      </c>
    </row>
    <row r="51" spans="1:20">
      <c r="A51" s="15" t="s">
        <v>393</v>
      </c>
      <c r="B51" s="17" t="n">
        <v>3372</v>
      </c>
      <c r="C51" s="18">
        <f>(3031.0/B51*100)</f>
        <v/>
      </c>
      <c r="D51" s="19" t="n">
        <v>341</v>
      </c>
      <c r="E51" s="18" t="n">
        <v>34.1570892</v>
      </c>
      <c r="F51" s="20" t="n">
        <v>2.91151096</v>
      </c>
      <c r="G51" s="18" t="n">
        <v>26.63020706</v>
      </c>
      <c r="H51" s="20" t="n">
        <v>2.64289254</v>
      </c>
      <c r="I51" s="18" t="n">
        <v>22.85543804</v>
      </c>
      <c r="J51" s="20" t="n">
        <v>2.64482512</v>
      </c>
      <c r="K51" s="18" t="s">
        <v>349</v>
      </c>
      <c r="L51" s="20" t="s">
        <v>349</v>
      </c>
      <c r="M51" s="18" t="n">
        <v>0.66977826</v>
      </c>
      <c r="N51" s="20" t="n">
        <v>0.40280812</v>
      </c>
      <c r="O51" s="18" t="n">
        <v>0</v>
      </c>
      <c r="P51" s="20" t="n">
        <v>0</v>
      </c>
      <c r="Q51" s="18" t="n">
        <v>0</v>
      </c>
      <c r="R51" s="20" t="n">
        <v>0</v>
      </c>
      <c r="S51" s="18" t="n">
        <v>15.68748743</v>
      </c>
      <c r="T51" s="20" t="n">
        <v>2.01520655</v>
      </c>
    </row>
    <row r="52" spans="1:20">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2811</v>
      </c>
      <c r="C53" s="18">
        <f>(2454.0/B53*100)</f>
        <v/>
      </c>
      <c r="D53" s="19" t="n">
        <v>357</v>
      </c>
      <c r="E53" s="18" t="n">
        <v>31.7097821</v>
      </c>
      <c r="F53" s="20" t="n">
        <v>2.17153017</v>
      </c>
      <c r="G53" s="18" t="n">
        <v>18.31876952</v>
      </c>
      <c r="H53" s="20" t="n">
        <v>2.25879345</v>
      </c>
      <c r="I53" s="18" t="n">
        <v>24.84011175</v>
      </c>
      <c r="J53" s="20" t="n">
        <v>2.39689524</v>
      </c>
      <c r="K53" s="18" t="s">
        <v>349</v>
      </c>
      <c r="L53" s="20" t="s">
        <v>349</v>
      </c>
      <c r="M53" s="18" t="n">
        <v>0.58291773</v>
      </c>
      <c r="N53" s="20" t="n">
        <v>0.43409141</v>
      </c>
      <c r="O53" s="18" t="n">
        <v>0</v>
      </c>
      <c r="P53" s="20" t="n">
        <v>0</v>
      </c>
      <c r="Q53" s="18" t="n">
        <v>0</v>
      </c>
      <c r="R53" s="20" t="n">
        <v>0</v>
      </c>
      <c r="S53" s="18" t="n">
        <v>24.54841891</v>
      </c>
      <c r="T53" s="20" t="n">
        <v>2.57032562</v>
      </c>
    </row>
    <row r="54" spans="1:20">
      <c r="A54" s="15" t="s">
        <v>396</v>
      </c>
      <c r="B54" s="17" t="n">
        <v>2266</v>
      </c>
      <c r="C54" s="18">
        <f>(1895.0/B54*100)</f>
        <v/>
      </c>
      <c r="D54" s="19" t="n">
        <v>371</v>
      </c>
      <c r="E54" s="18" t="n">
        <v>37.10897218</v>
      </c>
      <c r="F54" s="20" t="n">
        <v>3.11235275</v>
      </c>
      <c r="G54" s="18" t="n">
        <v>10.50771026</v>
      </c>
      <c r="H54" s="20" t="n">
        <v>1.44274341</v>
      </c>
      <c r="I54" s="18" t="n">
        <v>10.85791034</v>
      </c>
      <c r="J54" s="20" t="n">
        <v>1.70540841</v>
      </c>
      <c r="K54" s="18" t="s">
        <v>349</v>
      </c>
      <c r="L54" s="20" t="s">
        <v>349</v>
      </c>
      <c r="M54" s="18" t="n">
        <v>9.76364122</v>
      </c>
      <c r="N54" s="20" t="n">
        <v>1.64025212</v>
      </c>
      <c r="O54" s="18" t="n">
        <v>1.35361822</v>
      </c>
      <c r="P54" s="20" t="n">
        <v>1.1837397</v>
      </c>
      <c r="Q54" s="18" t="n">
        <v>0</v>
      </c>
      <c r="R54" s="20" t="n">
        <v>0</v>
      </c>
      <c r="S54" s="18" t="n">
        <v>30.40814777</v>
      </c>
      <c r="T54" s="20" t="n">
        <v>2.90165978</v>
      </c>
    </row>
    <row r="55" spans="1:20">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3511</v>
      </c>
      <c r="C67" s="18">
        <f>(3123.0/B67*100)</f>
        <v/>
      </c>
      <c r="D67" s="19" t="n">
        <v>388</v>
      </c>
      <c r="E67" s="18" t="n">
        <v>36.49917766</v>
      </c>
      <c r="F67" s="20" t="n">
        <v>2.25438306</v>
      </c>
      <c r="G67" s="18" t="n">
        <v>21.69900986</v>
      </c>
      <c r="H67" s="20" t="n">
        <v>2.41396407</v>
      </c>
      <c r="I67" s="18" t="n">
        <v>19.41213442</v>
      </c>
      <c r="J67" s="20" t="n">
        <v>2.33075608</v>
      </c>
      <c r="K67" s="18" t="s">
        <v>349</v>
      </c>
      <c r="L67" s="20" t="s">
        <v>349</v>
      </c>
      <c r="M67" s="18" t="n">
        <v>0</v>
      </c>
      <c r="N67" s="20" t="n">
        <v>0</v>
      </c>
      <c r="O67" s="18" t="n">
        <v>0.45635081</v>
      </c>
      <c r="P67" s="20" t="n">
        <v>0.32010821</v>
      </c>
      <c r="Q67" s="18" t="n">
        <v>0</v>
      </c>
      <c r="R67" s="20" t="n">
        <v>0</v>
      </c>
      <c r="S67" s="18" t="n">
        <v>21.93332725</v>
      </c>
      <c r="T67" s="20" t="n">
        <v>2.32544712</v>
      </c>
    </row>
    <row r="68" spans="1:20">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2406</v>
      </c>
      <c r="C75" s="18">
        <f>(2134.0/B75*100)</f>
        <v/>
      </c>
      <c r="D75" s="19" t="n">
        <v>272</v>
      </c>
      <c r="E75" s="18" t="n">
        <v>39.43075539</v>
      </c>
      <c r="F75" s="20" t="n">
        <v>3.18870376</v>
      </c>
      <c r="G75" s="18" t="n">
        <v>25.01538338</v>
      </c>
      <c r="H75" s="20" t="n">
        <v>2.50772245</v>
      </c>
      <c r="I75" s="18" t="n">
        <v>12.86989971</v>
      </c>
      <c r="J75" s="20" t="n">
        <v>2.01599973</v>
      </c>
      <c r="K75" s="18" t="s">
        <v>349</v>
      </c>
      <c r="L75" s="20" t="s">
        <v>349</v>
      </c>
      <c r="M75" s="18" t="n">
        <v>2.09189641</v>
      </c>
      <c r="N75" s="20" t="n">
        <v>1.00059352</v>
      </c>
      <c r="O75" s="18" t="n">
        <v>0.70126363</v>
      </c>
      <c r="P75" s="20" t="n">
        <v>0.49316846</v>
      </c>
      <c r="Q75" s="18" t="n">
        <v>0</v>
      </c>
      <c r="R75" s="20" t="n">
        <v>0</v>
      </c>
      <c r="S75" s="18" t="n">
        <v>19.89080149</v>
      </c>
      <c r="T75" s="20" t="n">
        <v>2.5854557</v>
      </c>
    </row>
    <row r="76" spans="1:20">
      <c r="A76" s="15" t="s">
        <v>418</v>
      </c>
      <c r="B76" s="17" t="n">
        <v>7052</v>
      </c>
      <c r="C76" s="18">
        <f>(6172.0/B76*100)</f>
        <v/>
      </c>
      <c r="D76" s="19" t="n">
        <v>880</v>
      </c>
      <c r="E76" s="18" t="n">
        <v>40.92916357</v>
      </c>
      <c r="F76" s="20" t="n">
        <v>1.96858578</v>
      </c>
      <c r="G76" s="18" t="n">
        <v>19.47094948</v>
      </c>
      <c r="H76" s="20" t="n">
        <v>1.83432387</v>
      </c>
      <c r="I76" s="18" t="n">
        <v>20.31178923</v>
      </c>
      <c r="J76" s="20" t="n">
        <v>1.73015335</v>
      </c>
      <c r="K76" s="18" t="s">
        <v>349</v>
      </c>
      <c r="L76" s="20" t="s">
        <v>349</v>
      </c>
      <c r="M76" s="18" t="n">
        <v>2.23472766</v>
      </c>
      <c r="N76" s="20" t="n">
        <v>0.64436665</v>
      </c>
      <c r="O76" s="18" t="n">
        <v>0.05896992</v>
      </c>
      <c r="P76" s="20" t="n">
        <v>0.05845397</v>
      </c>
      <c r="Q76" s="18" t="n">
        <v>0</v>
      </c>
      <c r="R76" s="20" t="n">
        <v>0</v>
      </c>
      <c r="S76" s="18" t="n">
        <v>16.99440014</v>
      </c>
      <c r="T76" s="20" t="n">
        <v>1.49195562</v>
      </c>
    </row>
    <row r="77" spans="1:20">
      <c r="A77" s="15" t="s">
        <v>419</v>
      </c>
      <c r="B77" s="17" t="n">
        <v>2908</v>
      </c>
      <c r="C77" s="18">
        <f>(2563.0/B77*100)</f>
        <v/>
      </c>
      <c r="D77" s="19" t="n">
        <v>345</v>
      </c>
      <c r="E77" s="18" t="n">
        <v>17.58528631</v>
      </c>
      <c r="F77" s="20" t="n">
        <v>2.40511215</v>
      </c>
      <c r="G77" s="18" t="n">
        <v>17.01854967</v>
      </c>
      <c r="H77" s="20" t="n">
        <v>2.29966117</v>
      </c>
      <c r="I77" s="18" t="n">
        <v>27.83914717</v>
      </c>
      <c r="J77" s="20" t="n">
        <v>2.6247196</v>
      </c>
      <c r="K77" s="18" t="s">
        <v>349</v>
      </c>
      <c r="L77" s="20" t="s">
        <v>349</v>
      </c>
      <c r="M77" s="18" t="n">
        <v>1.6765106</v>
      </c>
      <c r="N77" s="20" t="n">
        <v>0.7283908100000001</v>
      </c>
      <c r="O77" s="18" t="n">
        <v>3.45504464</v>
      </c>
      <c r="P77" s="20" t="n">
        <v>0.99202145</v>
      </c>
      <c r="Q77" s="18" t="n">
        <v>0</v>
      </c>
      <c r="R77" s="20" t="n">
        <v>0</v>
      </c>
      <c r="S77" s="18" t="n">
        <v>32.42546161</v>
      </c>
      <c r="T77" s="20" t="n">
        <v>2.77406962</v>
      </c>
    </row>
    <row r="78" spans="1:20">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(3129.0/B11*100)</f>
        <v/>
      </c>
      <c r="D11" s="19" t="n">
        <v>424</v>
      </c>
      <c r="E11" s="18" t="n">
        <v>48.4628918</v>
      </c>
      <c r="F11" s="20" t="n">
        <v>3.2646492</v>
      </c>
      <c r="G11" s="18" t="n">
        <v>49.69586124</v>
      </c>
      <c r="H11" s="20" t="n">
        <v>3.25294013</v>
      </c>
      <c r="I11" s="18" t="s">
        <v>349</v>
      </c>
      <c r="J11" s="20" t="s">
        <v>349</v>
      </c>
      <c r="K11" s="18" t="n">
        <v>1.51578882</v>
      </c>
      <c r="L11" s="20" t="n">
        <v>0.82455315</v>
      </c>
      <c r="M11" s="18" t="n">
        <v>0</v>
      </c>
      <c r="N11" s="20" t="n">
        <v>0</v>
      </c>
      <c r="O11" s="18" t="n">
        <v>0</v>
      </c>
      <c r="P11" s="20" t="n">
        <v>0</v>
      </c>
      <c r="Q11" s="18" t="n">
        <v>0.32545814</v>
      </c>
      <c r="R11" s="20" t="n">
        <v>0.32513811</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(3325.0/B28*100)</f>
        <v/>
      </c>
      <c r="D28" s="19" t="n">
        <v>440</v>
      </c>
      <c r="E28" s="18" t="n">
        <v>54.60644476</v>
      </c>
      <c r="F28" s="20" t="n">
        <v>2.96025184</v>
      </c>
      <c r="G28" s="18" t="n">
        <v>44.07301517</v>
      </c>
      <c r="H28" s="20" t="n">
        <v>2.83390851</v>
      </c>
      <c r="I28" s="18" t="s">
        <v>349</v>
      </c>
      <c r="J28" s="20" t="s">
        <v>349</v>
      </c>
      <c r="K28" s="18" t="n">
        <v>0.86924959</v>
      </c>
      <c r="L28" s="20" t="n">
        <v>0.46955403</v>
      </c>
      <c r="M28" s="18" t="n">
        <v>0</v>
      </c>
      <c r="N28" s="20" t="n">
        <v>0</v>
      </c>
      <c r="O28" s="18" t="n">
        <v>0</v>
      </c>
      <c r="P28" s="20" t="n">
        <v>0</v>
      </c>
      <c r="Q28" s="18" t="n">
        <v>0.45129048</v>
      </c>
      <c r="R28" s="20" t="n">
        <v>0.32147569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(9906.0/B46*100)</f>
        <v/>
      </c>
      <c r="D46" s="19" t="n">
        <v>1162</v>
      </c>
      <c r="E46" s="18" t="n">
        <v>46.15680888</v>
      </c>
      <c r="F46" s="20" t="n">
        <v>2.06038747</v>
      </c>
      <c r="G46" s="18" t="n">
        <v>50.70193327</v>
      </c>
      <c r="H46" s="20" t="n">
        <v>2.08873093</v>
      </c>
      <c r="I46" s="18" t="s">
        <v>349</v>
      </c>
      <c r="J46" s="20" t="s">
        <v>349</v>
      </c>
      <c r="K46" s="18" t="n">
        <v>1.80113825</v>
      </c>
      <c r="L46" s="20" t="n">
        <v>0.69292642</v>
      </c>
      <c r="M46" s="18" t="n">
        <v>0</v>
      </c>
      <c r="N46" s="20" t="n">
        <v>0</v>
      </c>
      <c r="O46" s="18" t="n">
        <v>0</v>
      </c>
      <c r="P46" s="20" t="n">
        <v>0</v>
      </c>
      <c r="Q46" s="18" t="n">
        <v>1.3401196</v>
      </c>
      <c r="R46" s="20" t="n">
        <v>0.44553678</v>
      </c>
    </row>
    <row r="47" spans="1:18">
      <c r="A47" s="15" t="s">
        <v>389</v>
      </c>
      <c r="B47" s="17" t="n">
        <v>3105</v>
      </c>
      <c r="C47" s="18">
        <f>(2737.0/B47*100)</f>
        <v/>
      </c>
      <c r="D47" s="19" t="n">
        <v>368</v>
      </c>
      <c r="E47" s="18" t="n">
        <v>41.93246483</v>
      </c>
      <c r="F47" s="20" t="n">
        <v>2.65343288</v>
      </c>
      <c r="G47" s="18" t="n">
        <v>55.86594419</v>
      </c>
      <c r="H47" s="20" t="n">
        <v>2.4409177</v>
      </c>
      <c r="I47" s="18" t="s">
        <v>349</v>
      </c>
      <c r="J47" s="20" t="s">
        <v>349</v>
      </c>
      <c r="K47" s="18" t="n">
        <v>0.8349617</v>
      </c>
      <c r="L47" s="20" t="n">
        <v>0.49710099</v>
      </c>
      <c r="M47" s="18" t="n">
        <v>0</v>
      </c>
      <c r="N47" s="20" t="n">
        <v>0</v>
      </c>
      <c r="O47" s="18" t="n">
        <v>0</v>
      </c>
      <c r="P47" s="20" t="n">
        <v>0</v>
      </c>
      <c r="Q47" s="18" t="n">
        <v>1.36662928</v>
      </c>
      <c r="R47" s="20" t="n">
        <v>0.68610919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(4925.0/B50*100)</f>
        <v/>
      </c>
      <c r="D50" s="19" t="n">
        <v>712</v>
      </c>
      <c r="E50" s="18" t="n">
        <v>45.04229169</v>
      </c>
      <c r="F50" s="20" t="n">
        <v>2.4128851</v>
      </c>
      <c r="G50" s="18" t="n">
        <v>51.34153969</v>
      </c>
      <c r="H50" s="20" t="n">
        <v>2.53329315</v>
      </c>
      <c r="I50" s="18" t="s">
        <v>349</v>
      </c>
      <c r="J50" s="20" t="s">
        <v>349</v>
      </c>
      <c r="K50" s="18" t="n">
        <v>2.48583377</v>
      </c>
      <c r="L50" s="20" t="n">
        <v>0.98891947</v>
      </c>
      <c r="M50" s="18" t="n">
        <v>0</v>
      </c>
      <c r="N50" s="20" t="n">
        <v>0</v>
      </c>
      <c r="O50" s="18" t="n">
        <v>0</v>
      </c>
      <c r="P50" s="20" t="n">
        <v>0</v>
      </c>
      <c r="Q50" s="18" t="n">
        <v>1.13033485</v>
      </c>
      <c r="R50" s="20" t="n">
        <v>0.52220195</v>
      </c>
    </row>
    <row r="51" spans="1:18">
      <c r="A51" s="15" t="s">
        <v>393</v>
      </c>
      <c r="B51" s="17" t="n">
        <v>3372</v>
      </c>
      <c r="C51" s="18">
        <f>(3034.0/B51*100)</f>
        <v/>
      </c>
      <c r="D51" s="19" t="n">
        <v>338</v>
      </c>
      <c r="E51" s="18" t="n">
        <v>55.03752344</v>
      </c>
      <c r="F51" s="20" t="n">
        <v>3.12313306</v>
      </c>
      <c r="G51" s="18" t="n">
        <v>43.38987281</v>
      </c>
      <c r="H51" s="20" t="n">
        <v>2.96985724</v>
      </c>
      <c r="I51" s="18" t="s">
        <v>349</v>
      </c>
      <c r="J51" s="20" t="s">
        <v>349</v>
      </c>
      <c r="K51" s="18" t="n">
        <v>0.9914235</v>
      </c>
      <c r="L51" s="20" t="n">
        <v>0.50549517</v>
      </c>
      <c r="M51" s="18" t="n">
        <v>0</v>
      </c>
      <c r="N51" s="20" t="n">
        <v>0</v>
      </c>
      <c r="O51" s="18" t="n">
        <v>0</v>
      </c>
      <c r="P51" s="20" t="n">
        <v>0</v>
      </c>
      <c r="Q51" s="18" t="n">
        <v>0.58118024</v>
      </c>
      <c r="R51" s="20" t="n">
        <v>0.41147504</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(2455.0/B53*100)</f>
        <v/>
      </c>
      <c r="D53" s="19" t="n">
        <v>356</v>
      </c>
      <c r="E53" s="18" t="n">
        <v>45.30341607</v>
      </c>
      <c r="F53" s="20" t="n">
        <v>2.44592708</v>
      </c>
      <c r="G53" s="18" t="n">
        <v>52.07076001</v>
      </c>
      <c r="H53" s="20" t="n">
        <v>2.44299469</v>
      </c>
      <c r="I53" s="18" t="s">
        <v>349</v>
      </c>
      <c r="J53" s="20" t="s">
        <v>349</v>
      </c>
      <c r="K53" s="18" t="n">
        <v>0.79001411</v>
      </c>
      <c r="L53" s="20" t="n">
        <v>0.48424555</v>
      </c>
      <c r="M53" s="18" t="n">
        <v>0</v>
      </c>
      <c r="N53" s="20" t="n">
        <v>0</v>
      </c>
      <c r="O53" s="18" t="n">
        <v>0</v>
      </c>
      <c r="P53" s="20" t="n">
        <v>0</v>
      </c>
      <c r="Q53" s="18" t="n">
        <v>1.83580981</v>
      </c>
      <c r="R53" s="20" t="n">
        <v>0.70489729</v>
      </c>
    </row>
    <row r="54" spans="1:18">
      <c r="A54" s="15" t="s">
        <v>396</v>
      </c>
      <c r="B54" s="17" t="n">
        <v>2266</v>
      </c>
      <c r="C54" s="18">
        <f>(1895.0/B54*100)</f>
        <v/>
      </c>
      <c r="D54" s="19" t="n">
        <v>371</v>
      </c>
      <c r="E54" s="18" t="n">
        <v>50.89708889</v>
      </c>
      <c r="F54" s="20" t="n">
        <v>2.76243928</v>
      </c>
      <c r="G54" s="18" t="n">
        <v>36.54559993</v>
      </c>
      <c r="H54" s="20" t="n">
        <v>2.75447728</v>
      </c>
      <c r="I54" s="18" t="s">
        <v>349</v>
      </c>
      <c r="J54" s="20" t="s">
        <v>349</v>
      </c>
      <c r="K54" s="18" t="n">
        <v>10.54846716</v>
      </c>
      <c r="L54" s="20" t="n">
        <v>1.71838054</v>
      </c>
      <c r="M54" s="18" t="n">
        <v>0</v>
      </c>
      <c r="N54" s="20" t="n">
        <v>0</v>
      </c>
      <c r="O54" s="18" t="n">
        <v>0</v>
      </c>
      <c r="P54" s="20" t="n">
        <v>0</v>
      </c>
      <c r="Q54" s="18" t="n">
        <v>2.00884402</v>
      </c>
      <c r="R54" s="20" t="n">
        <v>0.77565024</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(3128.0/B67*100)</f>
        <v/>
      </c>
      <c r="D67" s="19" t="n">
        <v>383</v>
      </c>
      <c r="E67" s="18" t="n">
        <v>55.12464201</v>
      </c>
      <c r="F67" s="20" t="n">
        <v>2.98688851</v>
      </c>
      <c r="G67" s="18" t="n">
        <v>43.61340682</v>
      </c>
      <c r="H67" s="20" t="n">
        <v>2.90464931</v>
      </c>
      <c r="I67" s="18" t="s">
        <v>349</v>
      </c>
      <c r="J67" s="20" t="s">
        <v>349</v>
      </c>
      <c r="K67" s="18" t="n">
        <v>0</v>
      </c>
      <c r="L67" s="20" t="n">
        <v>0</v>
      </c>
      <c r="M67" s="18" t="n">
        <v>0</v>
      </c>
      <c r="N67" s="20" t="n">
        <v>0</v>
      </c>
      <c r="O67" s="18" t="n">
        <v>0</v>
      </c>
      <c r="P67" s="20" t="n">
        <v>0</v>
      </c>
      <c r="Q67" s="18" t="n">
        <v>1.26195117</v>
      </c>
      <c r="R67" s="20" t="n">
        <v>0.56323957</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(2135.0/B75*100)</f>
        <v/>
      </c>
      <c r="D75" s="19" t="n">
        <v>271</v>
      </c>
      <c r="E75" s="18" t="n">
        <v>47.09210369</v>
      </c>
      <c r="F75" s="20" t="n">
        <v>3.04598575</v>
      </c>
      <c r="G75" s="18" t="n">
        <v>48.31941189</v>
      </c>
      <c r="H75" s="20" t="n">
        <v>2.99966935</v>
      </c>
      <c r="I75" s="18" t="s">
        <v>349</v>
      </c>
      <c r="J75" s="20" t="s">
        <v>349</v>
      </c>
      <c r="K75" s="18" t="n">
        <v>2.44525788</v>
      </c>
      <c r="L75" s="20" t="n">
        <v>1.08205797</v>
      </c>
      <c r="M75" s="18" t="n">
        <v>0</v>
      </c>
      <c r="N75" s="20" t="n">
        <v>0</v>
      </c>
      <c r="O75" s="18" t="n">
        <v>0</v>
      </c>
      <c r="P75" s="20" t="n">
        <v>0</v>
      </c>
      <c r="Q75" s="18" t="n">
        <v>2.14322654</v>
      </c>
      <c r="R75" s="20" t="n">
        <v>1.756183</v>
      </c>
    </row>
    <row r="76" spans="1:18">
      <c r="A76" s="15" t="s">
        <v>418</v>
      </c>
      <c r="B76" s="17" t="n">
        <v>7052</v>
      </c>
      <c r="C76" s="18">
        <f>(6173.0/B76*100)</f>
        <v/>
      </c>
      <c r="D76" s="19" t="n">
        <v>879</v>
      </c>
      <c r="E76" s="18" t="n">
        <v>43.73584735</v>
      </c>
      <c r="F76" s="20" t="n">
        <v>1.96507192</v>
      </c>
      <c r="G76" s="18" t="n">
        <v>52.28220596</v>
      </c>
      <c r="H76" s="20" t="n">
        <v>1.98520921</v>
      </c>
      <c r="I76" s="18" t="s">
        <v>349</v>
      </c>
      <c r="J76" s="20" t="s">
        <v>349</v>
      </c>
      <c r="K76" s="18" t="n">
        <v>2.32593168</v>
      </c>
      <c r="L76" s="20" t="n">
        <v>0.64924781</v>
      </c>
      <c r="M76" s="18" t="n">
        <v>0</v>
      </c>
      <c r="N76" s="20" t="n">
        <v>0</v>
      </c>
      <c r="O76" s="18" t="n">
        <v>0</v>
      </c>
      <c r="P76" s="20" t="n">
        <v>0</v>
      </c>
      <c r="Q76" s="18" t="n">
        <v>1.65601502</v>
      </c>
      <c r="R76" s="20" t="n">
        <v>0.70238545</v>
      </c>
    </row>
    <row r="77" spans="1:18">
      <c r="A77" s="15" t="s">
        <v>419</v>
      </c>
      <c r="B77" s="17" t="n">
        <v>2908</v>
      </c>
      <c r="C77" s="18">
        <f>(2564.0/B77*100)</f>
        <v/>
      </c>
      <c r="D77" s="19" t="n">
        <v>344</v>
      </c>
      <c r="E77" s="18" t="n">
        <v>45.52637446</v>
      </c>
      <c r="F77" s="20" t="n">
        <v>2.79977623</v>
      </c>
      <c r="G77" s="18" t="n">
        <v>51.54223924</v>
      </c>
      <c r="H77" s="20" t="n">
        <v>2.43242645</v>
      </c>
      <c r="I77" s="18" t="s">
        <v>349</v>
      </c>
      <c r="J77" s="20" t="s">
        <v>349</v>
      </c>
      <c r="K77" s="18" t="n">
        <v>2.1291591</v>
      </c>
      <c r="L77" s="20" t="n">
        <v>0.8308325</v>
      </c>
      <c r="M77" s="18" t="n">
        <v>0</v>
      </c>
      <c r="N77" s="20" t="n">
        <v>0</v>
      </c>
      <c r="O77" s="18" t="n">
        <v>0</v>
      </c>
      <c r="P77" s="20" t="n">
        <v>0</v>
      </c>
      <c r="Q77" s="18" t="n">
        <v>0.8022272</v>
      </c>
      <c r="R77" s="20" t="n">
        <v>0.45266693</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(3129.0/B11*100)</f>
        <v/>
      </c>
      <c r="D11" s="19" t="n">
        <v>424</v>
      </c>
      <c r="E11" s="18" t="n">
        <v>52.91715772</v>
      </c>
      <c r="F11" s="20" t="n">
        <v>2.98907261</v>
      </c>
      <c r="G11" s="18" t="n">
        <v>44.66794488</v>
      </c>
      <c r="H11" s="20" t="n">
        <v>2.91844464</v>
      </c>
      <c r="I11" s="18" t="s">
        <v>349</v>
      </c>
      <c r="J11" s="20" t="s">
        <v>349</v>
      </c>
      <c r="K11" s="18" t="n">
        <v>1.51578882</v>
      </c>
      <c r="L11" s="20" t="n">
        <v>0.82455315</v>
      </c>
      <c r="M11" s="18" t="n">
        <v>0</v>
      </c>
      <c r="N11" s="20" t="n">
        <v>0</v>
      </c>
      <c r="O11" s="18" t="n">
        <v>0</v>
      </c>
      <c r="P11" s="20" t="n">
        <v>0</v>
      </c>
      <c r="Q11" s="18" t="n">
        <v>0.89910858</v>
      </c>
      <c r="R11" s="20" t="n">
        <v>0.52263983</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(3326.0/B28*100)</f>
        <v/>
      </c>
      <c r="D28" s="19" t="n">
        <v>439</v>
      </c>
      <c r="E28" s="18" t="n">
        <v>55.64308289</v>
      </c>
      <c r="F28" s="20" t="n">
        <v>2.98580895</v>
      </c>
      <c r="G28" s="18" t="n">
        <v>43.21385925</v>
      </c>
      <c r="H28" s="20" t="n">
        <v>2.99934268</v>
      </c>
      <c r="I28" s="18" t="s">
        <v>349</v>
      </c>
      <c r="J28" s="20" t="s">
        <v>349</v>
      </c>
      <c r="K28" s="18" t="n">
        <v>0.87071133</v>
      </c>
      <c r="L28" s="20" t="n">
        <v>0.4703399</v>
      </c>
      <c r="M28" s="18" t="n">
        <v>0</v>
      </c>
      <c r="N28" s="20" t="n">
        <v>0</v>
      </c>
      <c r="O28" s="18" t="n">
        <v>0</v>
      </c>
      <c r="P28" s="20" t="n">
        <v>0</v>
      </c>
      <c r="Q28" s="18" t="n">
        <v>0.27234653</v>
      </c>
      <c r="R28" s="20" t="n">
        <v>0.26347156</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(9916.0/B46*100)</f>
        <v/>
      </c>
      <c r="D46" s="19" t="n">
        <v>1152</v>
      </c>
      <c r="E46" s="18" t="n">
        <v>67.75649247</v>
      </c>
      <c r="F46" s="20" t="n">
        <v>1.74537415</v>
      </c>
      <c r="G46" s="18" t="n">
        <v>29.37578169</v>
      </c>
      <c r="H46" s="20" t="n">
        <v>1.7332067</v>
      </c>
      <c r="I46" s="18" t="s">
        <v>349</v>
      </c>
      <c r="J46" s="20" t="s">
        <v>349</v>
      </c>
      <c r="K46" s="18" t="n">
        <v>1.98918754</v>
      </c>
      <c r="L46" s="20" t="n">
        <v>0.70997499</v>
      </c>
      <c r="M46" s="18" t="n">
        <v>0</v>
      </c>
      <c r="N46" s="20" t="n">
        <v>0</v>
      </c>
      <c r="O46" s="18" t="n">
        <v>0</v>
      </c>
      <c r="P46" s="20" t="n">
        <v>0</v>
      </c>
      <c r="Q46" s="18" t="n">
        <v>0.8785382900000001</v>
      </c>
      <c r="R46" s="20" t="n">
        <v>0.30356258</v>
      </c>
    </row>
    <row r="47" spans="1:18">
      <c r="A47" s="15" t="s">
        <v>389</v>
      </c>
      <c r="B47" s="17" t="n">
        <v>3105</v>
      </c>
      <c r="C47" s="18">
        <f>(2737.0/B47*100)</f>
        <v/>
      </c>
      <c r="D47" s="19" t="n">
        <v>368</v>
      </c>
      <c r="E47" s="18" t="n">
        <v>58.00810584</v>
      </c>
      <c r="F47" s="20" t="n">
        <v>3.10009146</v>
      </c>
      <c r="G47" s="18" t="n">
        <v>40.31630062</v>
      </c>
      <c r="H47" s="20" t="n">
        <v>3.1764138</v>
      </c>
      <c r="I47" s="18" t="s">
        <v>349</v>
      </c>
      <c r="J47" s="20" t="s">
        <v>349</v>
      </c>
      <c r="K47" s="18" t="n">
        <v>1.11242924</v>
      </c>
      <c r="L47" s="20" t="n">
        <v>0.56455533</v>
      </c>
      <c r="M47" s="18" t="n">
        <v>0</v>
      </c>
      <c r="N47" s="20" t="n">
        <v>0</v>
      </c>
      <c r="O47" s="18" t="n">
        <v>0</v>
      </c>
      <c r="P47" s="20" t="n">
        <v>0</v>
      </c>
      <c r="Q47" s="18" t="n">
        <v>0.5631643</v>
      </c>
      <c r="R47" s="20" t="n">
        <v>0.51564801</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(4926.0/B50*100)</f>
        <v/>
      </c>
      <c r="D50" s="19" t="n">
        <v>711</v>
      </c>
      <c r="E50" s="18" t="n">
        <v>64.18847912</v>
      </c>
      <c r="F50" s="20" t="n">
        <v>2.33540526</v>
      </c>
      <c r="G50" s="18" t="n">
        <v>31.57077237</v>
      </c>
      <c r="H50" s="20" t="n">
        <v>2.27681215</v>
      </c>
      <c r="I50" s="18" t="s">
        <v>349</v>
      </c>
      <c r="J50" s="20" t="s">
        <v>349</v>
      </c>
      <c r="K50" s="18" t="n">
        <v>2.78632329</v>
      </c>
      <c r="L50" s="20" t="n">
        <v>1.02366529</v>
      </c>
      <c r="M50" s="18" t="n">
        <v>0</v>
      </c>
      <c r="N50" s="20" t="n">
        <v>0</v>
      </c>
      <c r="O50" s="18" t="n">
        <v>0</v>
      </c>
      <c r="P50" s="20" t="n">
        <v>0</v>
      </c>
      <c r="Q50" s="18" t="n">
        <v>1.45442523</v>
      </c>
      <c r="R50" s="20" t="n">
        <v>0.5932817500000001</v>
      </c>
    </row>
    <row r="51" spans="1:18">
      <c r="A51" s="15" t="s">
        <v>393</v>
      </c>
      <c r="B51" s="17" t="n">
        <v>3372</v>
      </c>
      <c r="C51" s="18">
        <f>(3034.0/B51*100)</f>
        <v/>
      </c>
      <c r="D51" s="19" t="n">
        <v>338</v>
      </c>
      <c r="E51" s="18" t="n">
        <v>62.78561845</v>
      </c>
      <c r="F51" s="20" t="n">
        <v>2.87880406</v>
      </c>
      <c r="G51" s="18" t="n">
        <v>33.64164284</v>
      </c>
      <c r="H51" s="20" t="n">
        <v>2.53892402</v>
      </c>
      <c r="I51" s="18" t="s">
        <v>349</v>
      </c>
      <c r="J51" s="20" t="s">
        <v>349</v>
      </c>
      <c r="K51" s="18" t="n">
        <v>0.9914235</v>
      </c>
      <c r="L51" s="20" t="n">
        <v>0.50549517</v>
      </c>
      <c r="M51" s="18" t="n">
        <v>0</v>
      </c>
      <c r="N51" s="20" t="n">
        <v>0</v>
      </c>
      <c r="O51" s="18" t="n">
        <v>0</v>
      </c>
      <c r="P51" s="20" t="n">
        <v>0</v>
      </c>
      <c r="Q51" s="18" t="n">
        <v>2.5813152</v>
      </c>
      <c r="R51" s="20" t="n">
        <v>1.28347275</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(2456.0/B53*100)</f>
        <v/>
      </c>
      <c r="D53" s="19" t="n">
        <v>355</v>
      </c>
      <c r="E53" s="18" t="n">
        <v>54.14693661</v>
      </c>
      <c r="F53" s="20" t="n">
        <v>2.66506475</v>
      </c>
      <c r="G53" s="18" t="n">
        <v>44.24528358</v>
      </c>
      <c r="H53" s="20" t="n">
        <v>2.66253006</v>
      </c>
      <c r="I53" s="18" t="s">
        <v>349</v>
      </c>
      <c r="J53" s="20" t="s">
        <v>349</v>
      </c>
      <c r="K53" s="18" t="n">
        <v>0.79171878</v>
      </c>
      <c r="L53" s="20" t="n">
        <v>0.48533387</v>
      </c>
      <c r="M53" s="18" t="n">
        <v>0</v>
      </c>
      <c r="N53" s="20" t="n">
        <v>0</v>
      </c>
      <c r="O53" s="18" t="n">
        <v>0</v>
      </c>
      <c r="P53" s="20" t="n">
        <v>0</v>
      </c>
      <c r="Q53" s="18" t="n">
        <v>0.81606102</v>
      </c>
      <c r="R53" s="20" t="n">
        <v>0.48470024</v>
      </c>
    </row>
    <row r="54" spans="1:18">
      <c r="A54" s="15" t="s">
        <v>396</v>
      </c>
      <c r="B54" s="17" t="n">
        <v>2266</v>
      </c>
      <c r="C54" s="18">
        <f>(1895.0/B54*100)</f>
        <v/>
      </c>
      <c r="D54" s="19" t="n">
        <v>371</v>
      </c>
      <c r="E54" s="18" t="n">
        <v>62.72991559</v>
      </c>
      <c r="F54" s="20" t="n">
        <v>2.73262919</v>
      </c>
      <c r="G54" s="18" t="n">
        <v>23.88576934</v>
      </c>
      <c r="H54" s="20" t="n">
        <v>2.43366482</v>
      </c>
      <c r="I54" s="18" t="s">
        <v>349</v>
      </c>
      <c r="J54" s="20" t="s">
        <v>349</v>
      </c>
      <c r="K54" s="18" t="n">
        <v>11.00453297</v>
      </c>
      <c r="L54" s="20" t="n">
        <v>1.8205127</v>
      </c>
      <c r="M54" s="18" t="n">
        <v>0</v>
      </c>
      <c r="N54" s="20" t="n">
        <v>0</v>
      </c>
      <c r="O54" s="18" t="n">
        <v>0</v>
      </c>
      <c r="P54" s="20" t="n">
        <v>0</v>
      </c>
      <c r="Q54" s="18" t="n">
        <v>2.3797821</v>
      </c>
      <c r="R54" s="20" t="n">
        <v>0.9071166899999999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(3129.0/B67*100)</f>
        <v/>
      </c>
      <c r="D67" s="19" t="n">
        <v>382</v>
      </c>
      <c r="E67" s="18" t="n">
        <v>61.52639268</v>
      </c>
      <c r="F67" s="20" t="n">
        <v>2.80032434</v>
      </c>
      <c r="G67" s="18" t="n">
        <v>37.9592184</v>
      </c>
      <c r="H67" s="20" t="n">
        <v>2.77503486</v>
      </c>
      <c r="I67" s="18" t="s">
        <v>349</v>
      </c>
      <c r="J67" s="20" t="s">
        <v>349</v>
      </c>
      <c r="K67" s="18" t="n">
        <v>0</v>
      </c>
      <c r="L67" s="20" t="n">
        <v>0</v>
      </c>
      <c r="M67" s="18" t="n">
        <v>0</v>
      </c>
      <c r="N67" s="20" t="n">
        <v>0</v>
      </c>
      <c r="O67" s="18" t="n">
        <v>0</v>
      </c>
      <c r="P67" s="20" t="n">
        <v>0</v>
      </c>
      <c r="Q67" s="18" t="n">
        <v>0.51438892</v>
      </c>
      <c r="R67" s="20" t="n">
        <v>0.35844331</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(2135.0/B75*100)</f>
        <v/>
      </c>
      <c r="D75" s="19" t="n">
        <v>271</v>
      </c>
      <c r="E75" s="18" t="n">
        <v>67.29857525</v>
      </c>
      <c r="F75" s="20" t="n">
        <v>2.7975851</v>
      </c>
      <c r="G75" s="18" t="n">
        <v>28.28419627</v>
      </c>
      <c r="H75" s="20" t="n">
        <v>2.76712906</v>
      </c>
      <c r="I75" s="18" t="s">
        <v>349</v>
      </c>
      <c r="J75" s="20" t="s">
        <v>349</v>
      </c>
      <c r="K75" s="18" t="n">
        <v>2.44525788</v>
      </c>
      <c r="L75" s="20" t="n">
        <v>1.08205797</v>
      </c>
      <c r="M75" s="18" t="n">
        <v>0</v>
      </c>
      <c r="N75" s="20" t="n">
        <v>0</v>
      </c>
      <c r="O75" s="18" t="n">
        <v>0</v>
      </c>
      <c r="P75" s="20" t="n">
        <v>0</v>
      </c>
      <c r="Q75" s="18" t="n">
        <v>1.97197059</v>
      </c>
      <c r="R75" s="20" t="n">
        <v>0.9338144900000001</v>
      </c>
    </row>
    <row r="76" spans="1:18">
      <c r="A76" s="15" t="s">
        <v>418</v>
      </c>
      <c r="B76" s="17" t="n">
        <v>7052</v>
      </c>
      <c r="C76" s="18">
        <f>(6173.0/B76*100)</f>
        <v/>
      </c>
      <c r="D76" s="19" t="n">
        <v>879</v>
      </c>
      <c r="E76" s="18" t="n">
        <v>53.88431711</v>
      </c>
      <c r="F76" s="20" t="n">
        <v>1.88937757</v>
      </c>
      <c r="G76" s="18" t="n">
        <v>41.8784209</v>
      </c>
      <c r="H76" s="20" t="n">
        <v>1.8082922</v>
      </c>
      <c r="I76" s="18" t="s">
        <v>349</v>
      </c>
      <c r="J76" s="20" t="s">
        <v>349</v>
      </c>
      <c r="K76" s="18" t="n">
        <v>2.71234836</v>
      </c>
      <c r="L76" s="20" t="n">
        <v>0.73233942</v>
      </c>
      <c r="M76" s="18" t="n">
        <v>0</v>
      </c>
      <c r="N76" s="20" t="n">
        <v>0</v>
      </c>
      <c r="O76" s="18" t="n">
        <v>0</v>
      </c>
      <c r="P76" s="20" t="n">
        <v>0</v>
      </c>
      <c r="Q76" s="18" t="n">
        <v>1.52491362</v>
      </c>
      <c r="R76" s="20" t="n">
        <v>0.62841828</v>
      </c>
    </row>
    <row r="77" spans="1:18">
      <c r="A77" s="15" t="s">
        <v>419</v>
      </c>
      <c r="B77" s="17" t="n">
        <v>2908</v>
      </c>
      <c r="C77" s="18">
        <f>(2566.0/B77*100)</f>
        <v/>
      </c>
      <c r="D77" s="19" t="n">
        <v>342</v>
      </c>
      <c r="E77" s="18" t="n">
        <v>49.79000375</v>
      </c>
      <c r="F77" s="20" t="n">
        <v>2.56931409</v>
      </c>
      <c r="G77" s="18" t="n">
        <v>46.28788303</v>
      </c>
      <c r="H77" s="20" t="n">
        <v>2.54549486</v>
      </c>
      <c r="I77" s="18" t="s">
        <v>349</v>
      </c>
      <c r="J77" s="20" t="s">
        <v>349</v>
      </c>
      <c r="K77" s="18" t="n">
        <v>2.14204509</v>
      </c>
      <c r="L77" s="20" t="n">
        <v>0.83554496</v>
      </c>
      <c r="M77" s="18" t="n">
        <v>0</v>
      </c>
      <c r="N77" s="20" t="n">
        <v>0</v>
      </c>
      <c r="O77" s="18" t="n">
        <v>0</v>
      </c>
      <c r="P77" s="20" t="n">
        <v>0</v>
      </c>
      <c r="Q77" s="18" t="n">
        <v>1.78006813</v>
      </c>
      <c r="R77" s="20" t="n">
        <v>0.72962056</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(3131.0/B11*100)</f>
        <v/>
      </c>
      <c r="D11" s="19" t="n">
        <v>422</v>
      </c>
      <c r="E11" s="18" t="n">
        <v>60.08855033</v>
      </c>
      <c r="F11" s="20" t="n">
        <v>2.81892707</v>
      </c>
      <c r="G11" s="18" t="n">
        <v>28.66150111</v>
      </c>
      <c r="H11" s="20" t="n">
        <v>2.4860085</v>
      </c>
      <c r="I11" s="18" t="s">
        <v>349</v>
      </c>
      <c r="J11" s="20" t="s">
        <v>349</v>
      </c>
      <c r="K11" s="18" t="n">
        <v>2.9823642</v>
      </c>
      <c r="L11" s="20" t="n">
        <v>1.06869534</v>
      </c>
      <c r="M11" s="18" t="n">
        <v>0</v>
      </c>
      <c r="N11" s="20" t="n">
        <v>0</v>
      </c>
      <c r="O11" s="18" t="n">
        <v>0</v>
      </c>
      <c r="P11" s="20" t="n">
        <v>0</v>
      </c>
      <c r="Q11" s="18" t="n">
        <v>8.26758437</v>
      </c>
      <c r="R11" s="20" t="n">
        <v>1.50109844</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(3332.0/B28*100)</f>
        <v/>
      </c>
      <c r="D28" s="19" t="n">
        <v>433</v>
      </c>
      <c r="E28" s="18" t="n">
        <v>62.73415925</v>
      </c>
      <c r="F28" s="20" t="n">
        <v>2.69437124</v>
      </c>
      <c r="G28" s="18" t="n">
        <v>34.03315107</v>
      </c>
      <c r="H28" s="20" t="n">
        <v>2.81172658</v>
      </c>
      <c r="I28" s="18" t="s">
        <v>349</v>
      </c>
      <c r="J28" s="20" t="s">
        <v>349</v>
      </c>
      <c r="K28" s="18" t="n">
        <v>1.10313295</v>
      </c>
      <c r="L28" s="20" t="n">
        <v>0.52744539</v>
      </c>
      <c r="M28" s="18" t="n">
        <v>0</v>
      </c>
      <c r="N28" s="20" t="n">
        <v>0</v>
      </c>
      <c r="O28" s="18" t="n">
        <v>0</v>
      </c>
      <c r="P28" s="20" t="n">
        <v>0</v>
      </c>
      <c r="Q28" s="18" t="n">
        <v>2.12955673</v>
      </c>
      <c r="R28" s="20" t="n">
        <v>0.7756207000000001</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(9954.0/B46*100)</f>
        <v/>
      </c>
      <c r="D46" s="19" t="n">
        <v>1114</v>
      </c>
      <c r="E46" s="18" t="n">
        <v>74.03276122</v>
      </c>
      <c r="F46" s="20" t="n">
        <v>2.07003952</v>
      </c>
      <c r="G46" s="18" t="n">
        <v>17.14975657</v>
      </c>
      <c r="H46" s="20" t="n">
        <v>1.78831902</v>
      </c>
      <c r="I46" s="18" t="s">
        <v>349</v>
      </c>
      <c r="J46" s="20" t="s">
        <v>349</v>
      </c>
      <c r="K46" s="18" t="n">
        <v>3.19380754</v>
      </c>
      <c r="L46" s="20" t="n">
        <v>0.83718653</v>
      </c>
      <c r="M46" s="18" t="n">
        <v>0</v>
      </c>
      <c r="N46" s="20" t="n">
        <v>0</v>
      </c>
      <c r="O46" s="18" t="n">
        <v>0</v>
      </c>
      <c r="P46" s="20" t="n">
        <v>0</v>
      </c>
      <c r="Q46" s="18" t="n">
        <v>5.62367467</v>
      </c>
      <c r="R46" s="20" t="n">
        <v>0.90396616</v>
      </c>
    </row>
    <row r="47" spans="1:18">
      <c r="A47" s="15" t="s">
        <v>389</v>
      </c>
      <c r="B47" s="17" t="n">
        <v>3105</v>
      </c>
      <c r="C47" s="18">
        <f>(2738.0/B47*100)</f>
        <v/>
      </c>
      <c r="D47" s="19" t="n">
        <v>367</v>
      </c>
      <c r="E47" s="18" t="n">
        <v>59.86692512</v>
      </c>
      <c r="F47" s="20" t="n">
        <v>2.72795904</v>
      </c>
      <c r="G47" s="18" t="n">
        <v>33.59400115</v>
      </c>
      <c r="H47" s="20" t="n">
        <v>2.63392993</v>
      </c>
      <c r="I47" s="18" t="s">
        <v>349</v>
      </c>
      <c r="J47" s="20" t="s">
        <v>349</v>
      </c>
      <c r="K47" s="18" t="n">
        <v>2.13645846</v>
      </c>
      <c r="L47" s="20" t="n">
        <v>0.81662225</v>
      </c>
      <c r="M47" s="18" t="n">
        <v>0</v>
      </c>
      <c r="N47" s="20" t="n">
        <v>0</v>
      </c>
      <c r="O47" s="18" t="n">
        <v>0</v>
      </c>
      <c r="P47" s="20" t="n">
        <v>0</v>
      </c>
      <c r="Q47" s="18" t="n">
        <v>4.40261527</v>
      </c>
      <c r="R47" s="20" t="n">
        <v>1.1788481</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(4930.0/B50*100)</f>
        <v/>
      </c>
      <c r="D50" s="19" t="n">
        <v>707</v>
      </c>
      <c r="E50" s="18" t="n">
        <v>75.18093859</v>
      </c>
      <c r="F50" s="20" t="n">
        <v>1.82532602</v>
      </c>
      <c r="G50" s="18" t="n">
        <v>19.01537613</v>
      </c>
      <c r="H50" s="20" t="n">
        <v>1.91748783</v>
      </c>
      <c r="I50" s="18" t="s">
        <v>349</v>
      </c>
      <c r="J50" s="20" t="s">
        <v>349</v>
      </c>
      <c r="K50" s="18" t="n">
        <v>3.56855612</v>
      </c>
      <c r="L50" s="20" t="n">
        <v>1.03875854</v>
      </c>
      <c r="M50" s="18" t="n">
        <v>0</v>
      </c>
      <c r="N50" s="20" t="n">
        <v>0</v>
      </c>
      <c r="O50" s="18" t="n">
        <v>0</v>
      </c>
      <c r="P50" s="20" t="n">
        <v>0</v>
      </c>
      <c r="Q50" s="18" t="n">
        <v>2.23512916</v>
      </c>
      <c r="R50" s="20" t="n">
        <v>0.6827658</v>
      </c>
    </row>
    <row r="51" spans="1:18">
      <c r="A51" s="15" t="s">
        <v>393</v>
      </c>
      <c r="B51" s="17" t="n">
        <v>3372</v>
      </c>
      <c r="C51" s="18">
        <f>(3040.0/B51*100)</f>
        <v/>
      </c>
      <c r="D51" s="19" t="n">
        <v>332</v>
      </c>
      <c r="E51" s="18" t="n">
        <v>76.08549062</v>
      </c>
      <c r="F51" s="20" t="n">
        <v>2.79300013</v>
      </c>
      <c r="G51" s="18" t="n">
        <v>18.45169482</v>
      </c>
      <c r="H51" s="20" t="n">
        <v>2.59685873</v>
      </c>
      <c r="I51" s="18" t="s">
        <v>349</v>
      </c>
      <c r="J51" s="20" t="s">
        <v>349</v>
      </c>
      <c r="K51" s="18" t="n">
        <v>1.25292443</v>
      </c>
      <c r="L51" s="20" t="n">
        <v>0.54788154</v>
      </c>
      <c r="M51" s="18" t="n">
        <v>0</v>
      </c>
      <c r="N51" s="20" t="n">
        <v>0</v>
      </c>
      <c r="O51" s="18" t="n">
        <v>0</v>
      </c>
      <c r="P51" s="20" t="n">
        <v>0</v>
      </c>
      <c r="Q51" s="18" t="n">
        <v>4.20989014</v>
      </c>
      <c r="R51" s="20" t="n">
        <v>1.13375475</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(2458.0/B53*100)</f>
        <v/>
      </c>
      <c r="D53" s="19" t="n">
        <v>353</v>
      </c>
      <c r="E53" s="18" t="n">
        <v>51.20957721</v>
      </c>
      <c r="F53" s="20" t="n">
        <v>2.62529484</v>
      </c>
      <c r="G53" s="18" t="n">
        <v>40.39522353</v>
      </c>
      <c r="H53" s="20" t="n">
        <v>2.56853226</v>
      </c>
      <c r="I53" s="18" t="s">
        <v>349</v>
      </c>
      <c r="J53" s="20" t="s">
        <v>349</v>
      </c>
      <c r="K53" s="18" t="n">
        <v>2.11618817</v>
      </c>
      <c r="L53" s="20" t="n">
        <v>0.71377559</v>
      </c>
      <c r="M53" s="18" t="n">
        <v>0</v>
      </c>
      <c r="N53" s="20" t="n">
        <v>0</v>
      </c>
      <c r="O53" s="18" t="n">
        <v>0</v>
      </c>
      <c r="P53" s="20" t="n">
        <v>0</v>
      </c>
      <c r="Q53" s="18" t="n">
        <v>6.27901109</v>
      </c>
      <c r="R53" s="20" t="n">
        <v>1.39990858</v>
      </c>
    </row>
    <row r="54" spans="1:18">
      <c r="A54" s="15" t="s">
        <v>396</v>
      </c>
      <c r="B54" s="17" t="n">
        <v>2266</v>
      </c>
      <c r="C54" s="18">
        <f>(1895.0/B54*100)</f>
        <v/>
      </c>
      <c r="D54" s="19" t="n">
        <v>371</v>
      </c>
      <c r="E54" s="18" t="n">
        <v>79.03386827999999</v>
      </c>
      <c r="F54" s="20" t="n">
        <v>2.20867487</v>
      </c>
      <c r="G54" s="18" t="n">
        <v>4.1795759</v>
      </c>
      <c r="H54" s="20" t="n">
        <v>0.88679534</v>
      </c>
      <c r="I54" s="18" t="s">
        <v>349</v>
      </c>
      <c r="J54" s="20" t="s">
        <v>349</v>
      </c>
      <c r="K54" s="18" t="n">
        <v>12.95365835</v>
      </c>
      <c r="L54" s="20" t="n">
        <v>2.00911736</v>
      </c>
      <c r="M54" s="18" t="n">
        <v>0</v>
      </c>
      <c r="N54" s="20" t="n">
        <v>0</v>
      </c>
      <c r="O54" s="18" t="n">
        <v>0</v>
      </c>
      <c r="P54" s="20" t="n">
        <v>0</v>
      </c>
      <c r="Q54" s="18" t="n">
        <v>3.83289747</v>
      </c>
      <c r="R54" s="20" t="n">
        <v>0.95604899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(3136.0/B67*100)</f>
        <v/>
      </c>
      <c r="D67" s="19" t="n">
        <v>375</v>
      </c>
      <c r="E67" s="18" t="n">
        <v>71.72302465</v>
      </c>
      <c r="F67" s="20" t="n">
        <v>2.51929569</v>
      </c>
      <c r="G67" s="18" t="n">
        <v>22.85027794</v>
      </c>
      <c r="H67" s="20" t="n">
        <v>2.17100666</v>
      </c>
      <c r="I67" s="18" t="s">
        <v>349</v>
      </c>
      <c r="J67" s="20" t="s">
        <v>349</v>
      </c>
      <c r="K67" s="18" t="n">
        <v>0.29931713</v>
      </c>
      <c r="L67" s="20" t="n">
        <v>0.29744315</v>
      </c>
      <c r="M67" s="18" t="n">
        <v>0</v>
      </c>
      <c r="N67" s="20" t="n">
        <v>0</v>
      </c>
      <c r="O67" s="18" t="n">
        <v>0</v>
      </c>
      <c r="P67" s="20" t="n">
        <v>0</v>
      </c>
      <c r="Q67" s="18" t="n">
        <v>5.12738028</v>
      </c>
      <c r="R67" s="20" t="n">
        <v>1.16970204</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(2137.0/B75*100)</f>
        <v/>
      </c>
      <c r="D75" s="19" t="n">
        <v>269</v>
      </c>
      <c r="E75" s="18" t="n">
        <v>73.64371761</v>
      </c>
      <c r="F75" s="20" t="n">
        <v>2.79429711</v>
      </c>
      <c r="G75" s="18" t="n">
        <v>17.60711701</v>
      </c>
      <c r="H75" s="20" t="n">
        <v>2.18541625</v>
      </c>
      <c r="I75" s="18" t="s">
        <v>349</v>
      </c>
      <c r="J75" s="20" t="s">
        <v>349</v>
      </c>
      <c r="K75" s="18" t="n">
        <v>3.36157645</v>
      </c>
      <c r="L75" s="20" t="n">
        <v>1.22474501</v>
      </c>
      <c r="M75" s="18" t="n">
        <v>0</v>
      </c>
      <c r="N75" s="20" t="n">
        <v>0</v>
      </c>
      <c r="O75" s="18" t="n">
        <v>0</v>
      </c>
      <c r="P75" s="20" t="n">
        <v>0</v>
      </c>
      <c r="Q75" s="18" t="n">
        <v>5.38758893</v>
      </c>
      <c r="R75" s="20" t="n">
        <v>1.24277964</v>
      </c>
    </row>
    <row r="76" spans="1:18">
      <c r="A76" s="15" t="s">
        <v>418</v>
      </c>
      <c r="B76" s="17" t="n">
        <v>7052</v>
      </c>
      <c r="C76" s="18">
        <f>(6176.0/B76*100)</f>
        <v/>
      </c>
      <c r="D76" s="19" t="n">
        <v>876</v>
      </c>
      <c r="E76" s="18" t="n">
        <v>62.29957511</v>
      </c>
      <c r="F76" s="20" t="n">
        <v>2.0368624</v>
      </c>
      <c r="G76" s="18" t="n">
        <v>30.65190858</v>
      </c>
      <c r="H76" s="20" t="n">
        <v>1.94910881</v>
      </c>
      <c r="I76" s="18" t="s">
        <v>349</v>
      </c>
      <c r="J76" s="20" t="s">
        <v>349</v>
      </c>
      <c r="K76" s="18" t="n">
        <v>3.64284978</v>
      </c>
      <c r="L76" s="20" t="n">
        <v>0.9674298</v>
      </c>
      <c r="M76" s="18" t="n">
        <v>0</v>
      </c>
      <c r="N76" s="20" t="n">
        <v>0</v>
      </c>
      <c r="O76" s="18" t="n">
        <v>0</v>
      </c>
      <c r="P76" s="20" t="n">
        <v>0</v>
      </c>
      <c r="Q76" s="18" t="n">
        <v>3.40566653</v>
      </c>
      <c r="R76" s="20" t="n">
        <v>0.77275615</v>
      </c>
    </row>
    <row r="77" spans="1:18">
      <c r="A77" s="15" t="s">
        <v>419</v>
      </c>
      <c r="B77" s="17" t="n">
        <v>2908</v>
      </c>
      <c r="C77" s="18">
        <f>(2572.0/B77*100)</f>
        <v/>
      </c>
      <c r="D77" s="19" t="n">
        <v>336</v>
      </c>
      <c r="E77" s="18" t="n">
        <v>51.48801322</v>
      </c>
      <c r="F77" s="20" t="n">
        <v>3.00513692</v>
      </c>
      <c r="G77" s="18" t="n">
        <v>34.80380318</v>
      </c>
      <c r="H77" s="20" t="n">
        <v>2.68387989</v>
      </c>
      <c r="I77" s="18" t="s">
        <v>349</v>
      </c>
      <c r="J77" s="20" t="s">
        <v>349</v>
      </c>
      <c r="K77" s="18" t="n">
        <v>4.66638833</v>
      </c>
      <c r="L77" s="20" t="n">
        <v>1.22379292</v>
      </c>
      <c r="M77" s="18" t="n">
        <v>0</v>
      </c>
      <c r="N77" s="20" t="n">
        <v>0</v>
      </c>
      <c r="O77" s="18" t="n">
        <v>0</v>
      </c>
      <c r="P77" s="20" t="n">
        <v>0</v>
      </c>
      <c r="Q77" s="18" t="n">
        <v>9.04179527</v>
      </c>
      <c r="R77" s="20" t="n">
        <v>1.44338597</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(3132.0/B11*100)</f>
        <v/>
      </c>
      <c r="D11" s="19" t="n">
        <v>421</v>
      </c>
      <c r="E11" s="18" t="n">
        <v>90.41279161</v>
      </c>
      <c r="F11" s="20" t="n">
        <v>1.50768297</v>
      </c>
      <c r="G11" s="18" t="n">
        <v>6.24510844</v>
      </c>
      <c r="H11" s="20" t="n">
        <v>0.9024234799999999</v>
      </c>
      <c r="I11" s="18" t="s">
        <v>349</v>
      </c>
      <c r="J11" s="20" t="s">
        <v>349</v>
      </c>
      <c r="K11" s="18" t="n">
        <v>3.34209996</v>
      </c>
      <c r="L11" s="20" t="n">
        <v>1.1032487</v>
      </c>
      <c r="M11" s="18" t="n">
        <v>0</v>
      </c>
      <c r="N11" s="20" t="n">
        <v>0</v>
      </c>
      <c r="O11" s="18" t="n">
        <v>0</v>
      </c>
      <c r="P11" s="20" t="n">
        <v>0</v>
      </c>
      <c r="Q11" s="18" t="n">
        <v>0</v>
      </c>
      <c r="R11" s="20" t="n">
        <v>0</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(3335.0/B28*100)</f>
        <v/>
      </c>
      <c r="D28" s="19" t="n">
        <v>430</v>
      </c>
      <c r="E28" s="18" t="n">
        <v>94.91193201</v>
      </c>
      <c r="F28" s="20" t="n">
        <v>1.11858088</v>
      </c>
      <c r="G28" s="18" t="n">
        <v>3.97621522</v>
      </c>
      <c r="H28" s="20" t="n">
        <v>0.99936924</v>
      </c>
      <c r="I28" s="18" t="s">
        <v>349</v>
      </c>
      <c r="J28" s="20" t="s">
        <v>349</v>
      </c>
      <c r="K28" s="18" t="n">
        <v>1.11185277</v>
      </c>
      <c r="L28" s="20" t="n">
        <v>0.53162225</v>
      </c>
      <c r="M28" s="18" t="n">
        <v>0</v>
      </c>
      <c r="N28" s="20" t="n">
        <v>0</v>
      </c>
      <c r="O28" s="18" t="n">
        <v>0</v>
      </c>
      <c r="P28" s="20" t="n">
        <v>0</v>
      </c>
      <c r="Q28" s="18" t="n">
        <v>0</v>
      </c>
      <c r="R28" s="20" t="n">
        <v>0</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(9974.0/B46*100)</f>
        <v/>
      </c>
      <c r="D46" s="19" t="n">
        <v>1094</v>
      </c>
      <c r="E46" s="18" t="n">
        <v>92.26648011</v>
      </c>
      <c r="F46" s="20" t="n">
        <v>1.09337085</v>
      </c>
      <c r="G46" s="18" t="n">
        <v>3.6273675</v>
      </c>
      <c r="H46" s="20" t="n">
        <v>0.74081248</v>
      </c>
      <c r="I46" s="18" t="s">
        <v>349</v>
      </c>
      <c r="J46" s="20" t="s">
        <v>349</v>
      </c>
      <c r="K46" s="18" t="n">
        <v>4.1061524</v>
      </c>
      <c r="L46" s="20" t="n">
        <v>0.86920486</v>
      </c>
      <c r="M46" s="18" t="n">
        <v>0</v>
      </c>
      <c r="N46" s="20" t="n">
        <v>0</v>
      </c>
      <c r="O46" s="18" t="n">
        <v>0</v>
      </c>
      <c r="P46" s="20" t="n">
        <v>0</v>
      </c>
      <c r="Q46" s="18" t="n">
        <v>0</v>
      </c>
      <c r="R46" s="20" t="n">
        <v>0</v>
      </c>
    </row>
    <row r="47" spans="1:18">
      <c r="A47" s="15" t="s">
        <v>389</v>
      </c>
      <c r="B47" s="17" t="n">
        <v>3105</v>
      </c>
      <c r="C47" s="18">
        <f>(2739.0/B47*100)</f>
        <v/>
      </c>
      <c r="D47" s="19" t="n">
        <v>366</v>
      </c>
      <c r="E47" s="18" t="n">
        <v>86.27817677</v>
      </c>
      <c r="F47" s="20" t="n">
        <v>1.80614886</v>
      </c>
      <c r="G47" s="18" t="n">
        <v>10.73847157</v>
      </c>
      <c r="H47" s="20" t="n">
        <v>1.75289342</v>
      </c>
      <c r="I47" s="18" t="s">
        <v>349</v>
      </c>
      <c r="J47" s="20" t="s">
        <v>349</v>
      </c>
      <c r="K47" s="18" t="n">
        <v>2.98335166</v>
      </c>
      <c r="L47" s="20" t="n">
        <v>0.96351358</v>
      </c>
      <c r="M47" s="18" t="n">
        <v>0</v>
      </c>
      <c r="N47" s="20" t="n">
        <v>0</v>
      </c>
      <c r="O47" s="18" t="n">
        <v>0</v>
      </c>
      <c r="P47" s="20" t="n">
        <v>0</v>
      </c>
      <c r="Q47" s="18" t="n">
        <v>0</v>
      </c>
      <c r="R47" s="20" t="n">
        <v>0</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(4931.0/B50*100)</f>
        <v/>
      </c>
      <c r="D50" s="19" t="n">
        <v>706</v>
      </c>
      <c r="E50" s="18" t="n">
        <v>91.5068287</v>
      </c>
      <c r="F50" s="20" t="n">
        <v>1.51926334</v>
      </c>
      <c r="G50" s="18" t="n">
        <v>4.45678182</v>
      </c>
      <c r="H50" s="20" t="n">
        <v>1.11975118</v>
      </c>
      <c r="I50" s="18" t="s">
        <v>349</v>
      </c>
      <c r="J50" s="20" t="s">
        <v>349</v>
      </c>
      <c r="K50" s="18" t="n">
        <v>4.03638948</v>
      </c>
      <c r="L50" s="20" t="n">
        <v>1.08450721</v>
      </c>
      <c r="M50" s="18" t="n">
        <v>0</v>
      </c>
      <c r="N50" s="20" t="n">
        <v>0</v>
      </c>
      <c r="O50" s="18" t="n">
        <v>0</v>
      </c>
      <c r="P50" s="20" t="n">
        <v>0</v>
      </c>
      <c r="Q50" s="18" t="n">
        <v>0</v>
      </c>
      <c r="R50" s="20" t="n">
        <v>0</v>
      </c>
    </row>
    <row r="51" spans="1:18">
      <c r="A51" s="15" t="s">
        <v>393</v>
      </c>
      <c r="B51" s="17" t="n">
        <v>3372</v>
      </c>
      <c r="C51" s="18">
        <f>(3043.0/B51*100)</f>
        <v/>
      </c>
      <c r="D51" s="19" t="n">
        <v>329</v>
      </c>
      <c r="E51" s="18" t="n">
        <v>92.90876538000001</v>
      </c>
      <c r="F51" s="20" t="n">
        <v>1.60570402</v>
      </c>
      <c r="G51" s="18" t="n">
        <v>4.99545782</v>
      </c>
      <c r="H51" s="20" t="n">
        <v>1.4594863</v>
      </c>
      <c r="I51" s="18" t="s">
        <v>349</v>
      </c>
      <c r="J51" s="20" t="s">
        <v>349</v>
      </c>
      <c r="K51" s="18" t="n">
        <v>2.0957768</v>
      </c>
      <c r="L51" s="20" t="n">
        <v>0.7878372</v>
      </c>
      <c r="M51" s="18" t="n">
        <v>0</v>
      </c>
      <c r="N51" s="20" t="n">
        <v>0</v>
      </c>
      <c r="O51" s="18" t="n">
        <v>0</v>
      </c>
      <c r="P51" s="20" t="n">
        <v>0</v>
      </c>
      <c r="Q51" s="18" t="n">
        <v>0</v>
      </c>
      <c r="R51" s="20" t="n">
        <v>0</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(2457.0/B53*100)</f>
        <v/>
      </c>
      <c r="D53" s="19" t="n">
        <v>354</v>
      </c>
      <c r="E53" s="18" t="n">
        <v>86.15566095</v>
      </c>
      <c r="F53" s="20" t="n">
        <v>1.76902706</v>
      </c>
      <c r="G53" s="18" t="n">
        <v>11.07119252</v>
      </c>
      <c r="H53" s="20" t="n">
        <v>1.64264168</v>
      </c>
      <c r="I53" s="18" t="s">
        <v>349</v>
      </c>
      <c r="J53" s="20" t="s">
        <v>349</v>
      </c>
      <c r="K53" s="18" t="n">
        <v>2.77314653</v>
      </c>
      <c r="L53" s="20" t="n">
        <v>0.84530144</v>
      </c>
      <c r="M53" s="18" t="n">
        <v>0</v>
      </c>
      <c r="N53" s="20" t="n">
        <v>0</v>
      </c>
      <c r="O53" s="18" t="n">
        <v>0</v>
      </c>
      <c r="P53" s="20" t="n">
        <v>0</v>
      </c>
      <c r="Q53" s="18" t="n">
        <v>0</v>
      </c>
      <c r="R53" s="20" t="n">
        <v>0</v>
      </c>
    </row>
    <row r="54" spans="1:18">
      <c r="A54" s="15" t="s">
        <v>396</v>
      </c>
      <c r="B54" s="17" t="n">
        <v>2266</v>
      </c>
      <c r="C54" s="18">
        <f>(1895.0/B54*100)</f>
        <v/>
      </c>
      <c r="D54" s="19" t="n">
        <v>371</v>
      </c>
      <c r="E54" s="18" t="n">
        <v>81.95668133</v>
      </c>
      <c r="F54" s="20" t="n">
        <v>2.18719627</v>
      </c>
      <c r="G54" s="18" t="n">
        <v>2.25145985</v>
      </c>
      <c r="H54" s="20" t="n">
        <v>0.75702742</v>
      </c>
      <c r="I54" s="18" t="s">
        <v>349</v>
      </c>
      <c r="J54" s="20" t="s">
        <v>349</v>
      </c>
      <c r="K54" s="18" t="n">
        <v>15.79185882</v>
      </c>
      <c r="L54" s="20" t="n">
        <v>2.04738974</v>
      </c>
      <c r="M54" s="18" t="n">
        <v>0</v>
      </c>
      <c r="N54" s="20" t="n">
        <v>0</v>
      </c>
      <c r="O54" s="18" t="n">
        <v>0</v>
      </c>
      <c r="P54" s="20" t="n">
        <v>0</v>
      </c>
      <c r="Q54" s="18" t="n">
        <v>0</v>
      </c>
      <c r="R54" s="20" t="n">
        <v>0</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(3139.0/B67*100)</f>
        <v/>
      </c>
      <c r="D67" s="19" t="n">
        <v>372</v>
      </c>
      <c r="E67" s="18" t="n">
        <v>95.12082097</v>
      </c>
      <c r="F67" s="20" t="n">
        <v>1.18020717</v>
      </c>
      <c r="G67" s="18" t="n">
        <v>4.10863653</v>
      </c>
      <c r="H67" s="20" t="n">
        <v>1.09871628</v>
      </c>
      <c r="I67" s="18" t="s">
        <v>349</v>
      </c>
      <c r="J67" s="20" t="s">
        <v>349</v>
      </c>
      <c r="K67" s="18" t="n">
        <v>0.7705425</v>
      </c>
      <c r="L67" s="20" t="n">
        <v>0.45120451</v>
      </c>
      <c r="M67" s="18" t="n">
        <v>0</v>
      </c>
      <c r="N67" s="20" t="n">
        <v>0</v>
      </c>
      <c r="O67" s="18" t="n">
        <v>0</v>
      </c>
      <c r="P67" s="20" t="n">
        <v>0</v>
      </c>
      <c r="Q67" s="18" t="n">
        <v>0</v>
      </c>
      <c r="R67" s="20" t="n">
        <v>0</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(2138.0/B75*100)</f>
        <v/>
      </c>
      <c r="D75" s="19" t="n">
        <v>268</v>
      </c>
      <c r="E75" s="18" t="n">
        <v>91.19755966</v>
      </c>
      <c r="F75" s="20" t="n">
        <v>1.70629255</v>
      </c>
      <c r="G75" s="18" t="n">
        <v>5.23450392</v>
      </c>
      <c r="H75" s="20" t="n">
        <v>1.37013135</v>
      </c>
      <c r="I75" s="18" t="s">
        <v>349</v>
      </c>
      <c r="J75" s="20" t="s">
        <v>349</v>
      </c>
      <c r="K75" s="18" t="n">
        <v>3.56793642</v>
      </c>
      <c r="L75" s="20" t="n">
        <v>1.24155338</v>
      </c>
      <c r="M75" s="18" t="n">
        <v>0</v>
      </c>
      <c r="N75" s="20" t="n">
        <v>0</v>
      </c>
      <c r="O75" s="18" t="n">
        <v>0</v>
      </c>
      <c r="P75" s="20" t="n">
        <v>0</v>
      </c>
      <c r="Q75" s="18" t="n">
        <v>0</v>
      </c>
      <c r="R75" s="20" t="n">
        <v>0</v>
      </c>
    </row>
    <row r="76" spans="1:18">
      <c r="A76" s="15" t="s">
        <v>418</v>
      </c>
      <c r="B76" s="17" t="n">
        <v>7052</v>
      </c>
      <c r="C76" s="18">
        <f>(6177.0/B76*100)</f>
        <v/>
      </c>
      <c r="D76" s="19" t="n">
        <v>875</v>
      </c>
      <c r="E76" s="18" t="n">
        <v>84.86810431000001</v>
      </c>
      <c r="F76" s="20" t="n">
        <v>1.61859513</v>
      </c>
      <c r="G76" s="18" t="n">
        <v>10.51076712</v>
      </c>
      <c r="H76" s="20" t="n">
        <v>1.30601768</v>
      </c>
      <c r="I76" s="18" t="s">
        <v>349</v>
      </c>
      <c r="J76" s="20" t="s">
        <v>349</v>
      </c>
      <c r="K76" s="18" t="n">
        <v>4.62112857</v>
      </c>
      <c r="L76" s="20" t="n">
        <v>1.0463123</v>
      </c>
      <c r="M76" s="18" t="n">
        <v>0</v>
      </c>
      <c r="N76" s="20" t="n">
        <v>0</v>
      </c>
      <c r="O76" s="18" t="n">
        <v>0</v>
      </c>
      <c r="P76" s="20" t="n">
        <v>0</v>
      </c>
      <c r="Q76" s="18" t="n">
        <v>0</v>
      </c>
      <c r="R76" s="20" t="n">
        <v>0</v>
      </c>
    </row>
    <row r="77" spans="1:18">
      <c r="A77" s="15" t="s">
        <v>419</v>
      </c>
      <c r="B77" s="17" t="n">
        <v>2908</v>
      </c>
      <c r="C77" s="18">
        <f>(2576.0/B77*100)</f>
        <v/>
      </c>
      <c r="D77" s="19" t="n">
        <v>332</v>
      </c>
      <c r="E77" s="18" t="n">
        <v>89.20139933999999</v>
      </c>
      <c r="F77" s="20" t="n">
        <v>1.74913127</v>
      </c>
      <c r="G77" s="18" t="n">
        <v>4.50987903</v>
      </c>
      <c r="H77" s="20" t="n">
        <v>1.27612286</v>
      </c>
      <c r="I77" s="18" t="s">
        <v>349</v>
      </c>
      <c r="J77" s="20" t="s">
        <v>349</v>
      </c>
      <c r="K77" s="18" t="n">
        <v>6.28872163</v>
      </c>
      <c r="L77" s="20" t="n">
        <v>1.44422967</v>
      </c>
      <c r="M77" s="18" t="n">
        <v>0</v>
      </c>
      <c r="N77" s="20" t="n">
        <v>0</v>
      </c>
      <c r="O77" s="18" t="n">
        <v>0</v>
      </c>
      <c r="P77" s="20" t="n">
        <v>0</v>
      </c>
      <c r="Q77" s="18" t="n">
        <v>0</v>
      </c>
      <c r="R77" s="20" t="n">
        <v>0</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40.22503954</v>
      </c>
      <c r="F44" s="20" t="n">
        <v>2.75821251</v>
      </c>
      <c r="G44" s="18" t="n">
        <v>48.64744285</v>
      </c>
      <c r="H44" s="20" t="n">
        <v>2.99888643</v>
      </c>
      <c r="I44" s="18" t="s">
        <v>349</v>
      </c>
      <c r="J44" s="20" t="s">
        <v>349</v>
      </c>
      <c r="K44" s="18" t="n">
        <v>3.78735938</v>
      </c>
      <c r="L44" s="20" t="n">
        <v>1.24272941</v>
      </c>
      <c r="M44" s="18" t="n">
        <v>0</v>
      </c>
      <c r="N44" s="20" t="n">
        <v>0</v>
      </c>
      <c r="O44" s="18" t="n">
        <v>0</v>
      </c>
      <c r="P44" s="20" t="n">
        <v>0</v>
      </c>
      <c r="Q44" s="18" t="n">
        <v>7.34015823</v>
      </c>
      <c r="R44" s="20" t="n">
        <v>1.51887769</v>
      </c>
    </row>
    <row r="45" spans="1:18">
      <c r="A45" s="15" t="s">
        <v>387</v>
      </c>
      <c r="B45" s="17" t="n">
        <v>2849</v>
      </c>
      <c r="C45" s="18">
        <f>(2395.0/B45*100)</f>
        <v/>
      </c>
      <c r="D45" s="19" t="n">
        <v>454</v>
      </c>
      <c r="E45" s="18" t="n">
        <v>55.03381976</v>
      </c>
      <c r="F45" s="20" t="n">
        <v>2.55458103</v>
      </c>
      <c r="G45" s="18" t="n">
        <v>21.52900902</v>
      </c>
      <c r="H45" s="20" t="n">
        <v>1.99820636</v>
      </c>
      <c r="I45" s="18" t="s">
        <v>349</v>
      </c>
      <c r="J45" s="20" t="s">
        <v>349</v>
      </c>
      <c r="K45" s="18" t="n">
        <v>5.10248927</v>
      </c>
      <c r="L45" s="20" t="n">
        <v>1.12869319</v>
      </c>
      <c r="M45" s="18" t="n">
        <v>0.26144766</v>
      </c>
      <c r="N45" s="20" t="n">
        <v>0.1848397</v>
      </c>
      <c r="O45" s="18" t="n">
        <v>0.52957126</v>
      </c>
      <c r="P45" s="20" t="n">
        <v>0.31852277</v>
      </c>
      <c r="Q45" s="18" t="n">
        <v>17.54366302</v>
      </c>
      <c r="R45" s="20" t="n">
        <v>1.95086156</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31.85943745</v>
      </c>
      <c r="F49" s="20" t="n">
        <v>2.15721536</v>
      </c>
      <c r="G49" s="18" t="n">
        <v>63.52519914</v>
      </c>
      <c r="H49" s="20" t="n">
        <v>2.42019211</v>
      </c>
      <c r="I49" s="18" t="s">
        <v>349</v>
      </c>
      <c r="J49" s="20" t="s">
        <v>349</v>
      </c>
      <c r="K49" s="18" t="n">
        <v>1.19160327</v>
      </c>
      <c r="L49" s="20" t="n">
        <v>0.47331677</v>
      </c>
      <c r="M49" s="18" t="n">
        <v>0</v>
      </c>
      <c r="N49" s="20" t="n">
        <v>0</v>
      </c>
      <c r="O49" s="18" t="n">
        <v>0</v>
      </c>
      <c r="P49" s="20" t="n">
        <v>0</v>
      </c>
      <c r="Q49" s="18" t="n">
        <v>3.42376014</v>
      </c>
      <c r="R49" s="20" t="n">
        <v>1.11947989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45.23336712</v>
      </c>
      <c r="F55" s="20" t="n">
        <v>2.18586619</v>
      </c>
      <c r="G55" s="18" t="n">
        <v>47.99225228</v>
      </c>
      <c r="H55" s="20" t="n">
        <v>2.34901224</v>
      </c>
      <c r="I55" s="18" t="s">
        <v>349</v>
      </c>
      <c r="J55" s="20" t="s">
        <v>349</v>
      </c>
      <c r="K55" s="18" t="n">
        <v>1.22047474</v>
      </c>
      <c r="L55" s="20" t="n">
        <v>0.5018689</v>
      </c>
      <c r="M55" s="18" t="n">
        <v>0</v>
      </c>
      <c r="N55" s="20" t="n">
        <v>0</v>
      </c>
      <c r="O55" s="18" t="n">
        <v>0.33773881</v>
      </c>
      <c r="P55" s="20" t="n">
        <v>0.33248914</v>
      </c>
      <c r="Q55" s="18" t="n">
        <v>5.21616705</v>
      </c>
      <c r="R55" s="20" t="n">
        <v>0.94670919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(2649.0/B57*100)</f>
        <v/>
      </c>
      <c r="D57" s="19" t="n">
        <v>521</v>
      </c>
      <c r="E57" s="18" t="n">
        <v>38.35416023</v>
      </c>
      <c r="F57" s="20" t="n">
        <v>2.83137169</v>
      </c>
      <c r="G57" s="18" t="n">
        <v>58.33026358</v>
      </c>
      <c r="H57" s="20" t="n">
        <v>2.87899528</v>
      </c>
      <c r="I57" s="18" t="s">
        <v>349</v>
      </c>
      <c r="J57" s="20" t="s">
        <v>349</v>
      </c>
      <c r="K57" s="18" t="n">
        <v>0.21814768</v>
      </c>
      <c r="L57" s="20" t="n">
        <v>0.19943704</v>
      </c>
      <c r="M57" s="18" t="n">
        <v>0</v>
      </c>
      <c r="N57" s="20" t="n">
        <v>0</v>
      </c>
      <c r="O57" s="18" t="n">
        <v>0</v>
      </c>
      <c r="P57" s="20" t="n">
        <v>0</v>
      </c>
      <c r="Q57" s="18" t="n">
        <v>3.09742851</v>
      </c>
      <c r="R57" s="20" t="n">
        <v>0.69439035</v>
      </c>
    </row>
    <row r="58" spans="1:18">
      <c r="A58" s="15" t="s">
        <v>400</v>
      </c>
      <c r="B58" s="17" t="n">
        <v>3530</v>
      </c>
      <c r="C58" s="18">
        <f>(2930.0/B58*100)</f>
        <v/>
      </c>
      <c r="D58" s="19" t="n">
        <v>600</v>
      </c>
      <c r="E58" s="18" t="n">
        <v>44.13450185</v>
      </c>
      <c r="F58" s="20" t="n">
        <v>2.91260021</v>
      </c>
      <c r="G58" s="18" t="n">
        <v>49.47156391</v>
      </c>
      <c r="H58" s="20" t="n">
        <v>2.80539304</v>
      </c>
      <c r="I58" s="18" t="s">
        <v>349</v>
      </c>
      <c r="J58" s="20" t="s">
        <v>349</v>
      </c>
      <c r="K58" s="18" t="n">
        <v>1.86080907</v>
      </c>
      <c r="L58" s="20" t="n">
        <v>0.44456838</v>
      </c>
      <c r="M58" s="18" t="n">
        <v>0</v>
      </c>
      <c r="N58" s="20" t="n">
        <v>0</v>
      </c>
      <c r="O58" s="18" t="n">
        <v>0.44657466</v>
      </c>
      <c r="P58" s="20" t="n">
        <v>0.3011348</v>
      </c>
      <c r="Q58" s="18" t="n">
        <v>4.08655051</v>
      </c>
      <c r="R58" s="20" t="n">
        <v>0.84797889</v>
      </c>
    </row>
    <row r="59" spans="1:18">
      <c r="A59" s="15" t="s">
        <v>401</v>
      </c>
      <c r="B59" s="17" t="n">
        <v>2548</v>
      </c>
      <c r="C59" s="18">
        <f>(2118.0/B59*100)</f>
        <v/>
      </c>
      <c r="D59" s="19" t="n">
        <v>430</v>
      </c>
      <c r="E59" s="18" t="n">
        <v>49.91661753</v>
      </c>
      <c r="F59" s="20" t="n">
        <v>3.11536814</v>
      </c>
      <c r="G59" s="18" t="n">
        <v>45.9293312</v>
      </c>
      <c r="H59" s="20" t="n">
        <v>3.03512606</v>
      </c>
      <c r="I59" s="18" t="s">
        <v>349</v>
      </c>
      <c r="J59" s="20" t="s">
        <v>349</v>
      </c>
      <c r="K59" s="18" t="n">
        <v>1.40556841</v>
      </c>
      <c r="L59" s="20" t="n">
        <v>0.76966641</v>
      </c>
      <c r="M59" s="18" t="n">
        <v>0</v>
      </c>
      <c r="N59" s="20" t="n">
        <v>0</v>
      </c>
      <c r="O59" s="18" t="n">
        <v>0.09700746</v>
      </c>
      <c r="P59" s="20" t="n">
        <v>0.09736810999999999</v>
      </c>
      <c r="Q59" s="18" t="n">
        <v>2.65147542</v>
      </c>
      <c r="R59" s="20" t="n">
        <v>0.91668248</v>
      </c>
    </row>
    <row r="60" spans="1:18">
      <c r="A60" s="15" t="s">
        <v>402</v>
      </c>
      <c r="B60" s="17" t="n">
        <v>2095</v>
      </c>
      <c r="C60" s="18">
        <f>(1764.0/B60*100)</f>
        <v/>
      </c>
      <c r="D60" s="19" t="n">
        <v>331</v>
      </c>
      <c r="E60" s="18" t="n">
        <v>33.68642401</v>
      </c>
      <c r="F60" s="20" t="n">
        <v>3.00393181</v>
      </c>
      <c r="G60" s="18" t="n">
        <v>54.42766045</v>
      </c>
      <c r="H60" s="20" t="n">
        <v>3.32636645</v>
      </c>
      <c r="I60" s="18" t="s">
        <v>349</v>
      </c>
      <c r="J60" s="20" t="s">
        <v>349</v>
      </c>
      <c r="K60" s="18" t="n">
        <v>2.96806182</v>
      </c>
      <c r="L60" s="20" t="n">
        <v>1.06215853</v>
      </c>
      <c r="M60" s="18" t="n">
        <v>0</v>
      </c>
      <c r="N60" s="20" t="n">
        <v>0</v>
      </c>
      <c r="O60" s="18" t="n">
        <v>0.93496834</v>
      </c>
      <c r="P60" s="20" t="n">
        <v>0.69470272</v>
      </c>
      <c r="Q60" s="18" t="n">
        <v>7.98288538</v>
      </c>
      <c r="R60" s="20" t="n">
        <v>2.06713773</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39.98696157</v>
      </c>
      <c r="F63" s="20" t="n">
        <v>2.37545361</v>
      </c>
      <c r="G63" s="18" t="n">
        <v>47.08934302</v>
      </c>
      <c r="H63" s="20" t="n">
        <v>2.52247566</v>
      </c>
      <c r="I63" s="18" t="s">
        <v>349</v>
      </c>
      <c r="J63" s="20" t="s">
        <v>349</v>
      </c>
      <c r="K63" s="18" t="n">
        <v>1.73122609</v>
      </c>
      <c r="L63" s="20" t="n">
        <v>0.70912338</v>
      </c>
      <c r="M63" s="18" t="n">
        <v>0</v>
      </c>
      <c r="N63" s="20" t="n">
        <v>0</v>
      </c>
      <c r="O63" s="18" t="n">
        <v>0</v>
      </c>
      <c r="P63" s="20" t="n">
        <v>0</v>
      </c>
      <c r="Q63" s="18" t="n">
        <v>11.19246932</v>
      </c>
      <c r="R63" s="20" t="n">
        <v>1.29570145</v>
      </c>
    </row>
    <row r="64" spans="1:18">
      <c r="A64" s="15" t="s">
        <v>406</v>
      </c>
      <c r="B64" s="17" t="n">
        <v>1844</v>
      </c>
      <c r="C64" s="18">
        <f>(1531.0/B64*100)</f>
        <v/>
      </c>
      <c r="D64" s="19" t="n">
        <v>313</v>
      </c>
      <c r="E64" s="18" t="n">
        <v>24.74355402</v>
      </c>
      <c r="F64" s="20" t="n">
        <v>2.69955122</v>
      </c>
      <c r="G64" s="18" t="n">
        <v>71.63716356</v>
      </c>
      <c r="H64" s="20" t="n">
        <v>2.78341378</v>
      </c>
      <c r="I64" s="18" t="s">
        <v>349</v>
      </c>
      <c r="J64" s="20" t="s">
        <v>349</v>
      </c>
      <c r="K64" s="18" t="n">
        <v>0.33682884</v>
      </c>
      <c r="L64" s="20" t="n">
        <v>0.33529931</v>
      </c>
      <c r="M64" s="18" t="n">
        <v>0</v>
      </c>
      <c r="N64" s="20" t="n">
        <v>0</v>
      </c>
      <c r="O64" s="18" t="n">
        <v>0</v>
      </c>
      <c r="P64" s="20" t="n">
        <v>0</v>
      </c>
      <c r="Q64" s="18" t="n">
        <v>3.28245359</v>
      </c>
      <c r="R64" s="20" t="n">
        <v>1.01586407</v>
      </c>
    </row>
    <row r="65" spans="1:18">
      <c r="A65" s="15" t="s">
        <v>407</v>
      </c>
      <c r="B65" s="17" t="n">
        <v>2691</v>
      </c>
      <c r="C65" s="18">
        <f>(2226.0/B65*100)</f>
        <v/>
      </c>
      <c r="D65" s="19" t="n">
        <v>465</v>
      </c>
      <c r="E65" s="18" t="n">
        <v>30.64102576</v>
      </c>
      <c r="F65" s="20" t="n">
        <v>2.22190024</v>
      </c>
      <c r="G65" s="18" t="n">
        <v>62.17702594</v>
      </c>
      <c r="H65" s="20" t="n">
        <v>2.39526041</v>
      </c>
      <c r="I65" s="18" t="s">
        <v>349</v>
      </c>
      <c r="J65" s="20" t="s">
        <v>349</v>
      </c>
      <c r="K65" s="18" t="n">
        <v>3.23171392</v>
      </c>
      <c r="L65" s="20" t="n">
        <v>0.82998229</v>
      </c>
      <c r="M65" s="18" t="n">
        <v>0.38146042</v>
      </c>
      <c r="N65" s="20" t="n">
        <v>0.28058887</v>
      </c>
      <c r="O65" s="18" t="n">
        <v>0</v>
      </c>
      <c r="P65" s="20" t="n">
        <v>0</v>
      </c>
      <c r="Q65" s="18" t="n">
        <v>3.56877396</v>
      </c>
      <c r="R65" s="20" t="n">
        <v>0.9306870699999999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49.76211109</v>
      </c>
      <c r="F69" s="20" t="n">
        <v>3.01111801</v>
      </c>
      <c r="G69" s="18" t="n">
        <v>48.58291298</v>
      </c>
      <c r="H69" s="20" t="n">
        <v>2.9657801</v>
      </c>
      <c r="I69" s="18" t="s">
        <v>349</v>
      </c>
      <c r="J69" s="20" t="s">
        <v>349</v>
      </c>
      <c r="K69" s="18" t="n">
        <v>0</v>
      </c>
      <c r="L69" s="20" t="n">
        <v>0</v>
      </c>
      <c r="M69" s="18" t="n">
        <v>0</v>
      </c>
      <c r="N69" s="20" t="n">
        <v>0</v>
      </c>
      <c r="O69" s="18" t="n">
        <v>0</v>
      </c>
      <c r="P69" s="20" t="n">
        <v>0</v>
      </c>
      <c r="Q69" s="18" t="n">
        <v>1.65497593</v>
      </c>
      <c r="R69" s="20" t="n">
        <v>0.70844927</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34.46169279</v>
      </c>
      <c r="F74" s="20" t="n">
        <v>2.50218794</v>
      </c>
      <c r="G74" s="18" t="n">
        <v>55.92211629</v>
      </c>
      <c r="H74" s="20" t="n">
        <v>2.95102273</v>
      </c>
      <c r="I74" s="18" t="s">
        <v>349</v>
      </c>
      <c r="J74" s="20" t="s">
        <v>349</v>
      </c>
      <c r="K74" s="18" t="n">
        <v>7.2538761</v>
      </c>
      <c r="L74" s="20" t="n">
        <v>1.73284039</v>
      </c>
      <c r="M74" s="18" t="n">
        <v>0</v>
      </c>
      <c r="N74" s="20" t="n">
        <v>0</v>
      </c>
      <c r="O74" s="18" t="n">
        <v>0</v>
      </c>
      <c r="P74" s="20" t="n">
        <v>0</v>
      </c>
      <c r="Q74" s="18" t="n">
        <v>2.36231482</v>
      </c>
      <c r="R74" s="20" t="n">
        <v>0.74690639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24.10854157</v>
      </c>
      <c r="F78" s="20" t="n">
        <v>2.040623</v>
      </c>
      <c r="G78" s="18" t="n">
        <v>75.65996253</v>
      </c>
      <c r="H78" s="20" t="n">
        <v>2.05753383</v>
      </c>
      <c r="I78" s="18" t="s">
        <v>349</v>
      </c>
      <c r="J78" s="20" t="s">
        <v>349</v>
      </c>
      <c r="K78" s="18" t="n">
        <v>0</v>
      </c>
      <c r="L78" s="20" t="n">
        <v>0</v>
      </c>
      <c r="M78" s="18" t="n">
        <v>0</v>
      </c>
      <c r="N78" s="20" t="n">
        <v>0</v>
      </c>
      <c r="O78" s="18" t="n">
        <v>0</v>
      </c>
      <c r="P78" s="20" t="n">
        <v>0</v>
      </c>
      <c r="Q78" s="18" t="n">
        <v>0.23149589</v>
      </c>
      <c r="R78" s="20" t="n">
        <v>0.23217441</v>
      </c>
    </row>
    <row customHeight="1" ht="25" r="79" spans="1:18">
      <c r="A79" s="15" t="s">
        <v>421</v>
      </c>
      <c r="B79" s="17" t="n">
        <v>787</v>
      </c>
      <c r="C79" s="18">
        <f>(655.0/B79*100)</f>
        <v/>
      </c>
      <c r="D79" s="19" t="n">
        <v>132</v>
      </c>
      <c r="E79" s="18" t="n">
        <v>25.9814011</v>
      </c>
      <c r="F79" s="20" t="n">
        <v>4.61474722</v>
      </c>
      <c r="G79" s="18" t="n">
        <v>70.10028522</v>
      </c>
      <c r="H79" s="20" t="n">
        <v>5.15722019</v>
      </c>
      <c r="I79" s="18" t="s">
        <v>349</v>
      </c>
      <c r="J79" s="20" t="s">
        <v>349</v>
      </c>
      <c r="K79" s="18" t="n">
        <v>2.17886633</v>
      </c>
      <c r="L79" s="20" t="n">
        <v>1.28879684</v>
      </c>
      <c r="M79" s="18" t="n">
        <v>0</v>
      </c>
      <c r="N79" s="20" t="n">
        <v>0</v>
      </c>
      <c r="O79" s="18" t="n">
        <v>0</v>
      </c>
      <c r="P79" s="20" t="n">
        <v>0</v>
      </c>
      <c r="Q79" s="18" t="n">
        <v>1.73944735</v>
      </c>
      <c r="R79" s="20" t="n">
        <v>1.17022398</v>
      </c>
    </row>
    <row r="80" spans="1:18">
      <c r="A80" s="15" t="s">
        <v>422</v>
      </c>
      <c r="B80" s="17" t="n">
        <v>3798</v>
      </c>
      <c r="C80" s="18">
        <f>(3190.0/B80*100)</f>
        <v/>
      </c>
      <c r="D80" s="19" t="n">
        <v>608</v>
      </c>
      <c r="E80" s="18" t="n">
        <v>23.02831817</v>
      </c>
      <c r="F80" s="20" t="n">
        <v>2.05882338</v>
      </c>
      <c r="G80" s="18" t="n">
        <v>76.72525478999999</v>
      </c>
      <c r="H80" s="20" t="n">
        <v>2.07002724</v>
      </c>
      <c r="I80" s="18" t="s">
        <v>349</v>
      </c>
      <c r="J80" s="20" t="s">
        <v>349</v>
      </c>
      <c r="K80" s="18" t="n">
        <v>0</v>
      </c>
      <c r="L80" s="20" t="n">
        <v>0</v>
      </c>
      <c r="M80" s="18" t="n">
        <v>0</v>
      </c>
      <c r="N80" s="20" t="n">
        <v>0</v>
      </c>
      <c r="O80" s="18" t="n">
        <v>0</v>
      </c>
      <c r="P80" s="20" t="n">
        <v>0</v>
      </c>
      <c r="Q80" s="18" t="n">
        <v>0.24642704</v>
      </c>
      <c r="R80" s="20" t="n">
        <v>0.16717162</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37.78949191</v>
      </c>
      <c r="F44" s="20" t="n">
        <v>3.044901</v>
      </c>
      <c r="G44" s="18" t="n">
        <v>48.44206582</v>
      </c>
      <c r="H44" s="20" t="n">
        <v>2.77144288</v>
      </c>
      <c r="I44" s="18" t="s">
        <v>349</v>
      </c>
      <c r="J44" s="20" t="s">
        <v>349</v>
      </c>
      <c r="K44" s="18" t="n">
        <v>5.1045173</v>
      </c>
      <c r="L44" s="20" t="n">
        <v>1.37162836</v>
      </c>
      <c r="M44" s="18" t="n">
        <v>0</v>
      </c>
      <c r="N44" s="20" t="n">
        <v>0</v>
      </c>
      <c r="O44" s="18" t="n">
        <v>0</v>
      </c>
      <c r="P44" s="20" t="n">
        <v>0</v>
      </c>
      <c r="Q44" s="18" t="n">
        <v>8.66392497</v>
      </c>
      <c r="R44" s="20" t="n">
        <v>1.5441445</v>
      </c>
    </row>
    <row r="45" spans="1:18">
      <c r="A45" s="15" t="s">
        <v>387</v>
      </c>
      <c r="B45" s="17" t="n">
        <v>2849</v>
      </c>
      <c r="C45" s="18">
        <f>(2395.0/B45*100)</f>
        <v/>
      </c>
      <c r="D45" s="19" t="n">
        <v>454</v>
      </c>
      <c r="E45" s="18" t="n">
        <v>47.8297399</v>
      </c>
      <c r="F45" s="20" t="n">
        <v>2.12831698</v>
      </c>
      <c r="G45" s="18" t="n">
        <v>34.18225903</v>
      </c>
      <c r="H45" s="20" t="n">
        <v>2.2765899</v>
      </c>
      <c r="I45" s="18" t="s">
        <v>349</v>
      </c>
      <c r="J45" s="20" t="s">
        <v>349</v>
      </c>
      <c r="K45" s="18" t="n">
        <v>5.65933386</v>
      </c>
      <c r="L45" s="20" t="n">
        <v>1.17829825</v>
      </c>
      <c r="M45" s="18" t="n">
        <v>0.61690586</v>
      </c>
      <c r="N45" s="20" t="n">
        <v>0.42665643</v>
      </c>
      <c r="O45" s="18" t="n">
        <v>2.09418041</v>
      </c>
      <c r="P45" s="20" t="n">
        <v>0.78967859</v>
      </c>
      <c r="Q45" s="18" t="n">
        <v>9.617580930000001</v>
      </c>
      <c r="R45" s="20" t="n">
        <v>1.58078046</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41.05320769</v>
      </c>
      <c r="F49" s="20" t="n">
        <v>2.30217564</v>
      </c>
      <c r="G49" s="18" t="n">
        <v>53.37117704</v>
      </c>
      <c r="H49" s="20" t="n">
        <v>2.47387953</v>
      </c>
      <c r="I49" s="18" t="s">
        <v>349</v>
      </c>
      <c r="J49" s="20" t="s">
        <v>349</v>
      </c>
      <c r="K49" s="18" t="n">
        <v>1.42063112</v>
      </c>
      <c r="L49" s="20" t="n">
        <v>0.5261474900000001</v>
      </c>
      <c r="M49" s="18" t="n">
        <v>0</v>
      </c>
      <c r="N49" s="20" t="n">
        <v>0</v>
      </c>
      <c r="O49" s="18" t="n">
        <v>0</v>
      </c>
      <c r="P49" s="20" t="n">
        <v>0</v>
      </c>
      <c r="Q49" s="18" t="n">
        <v>4.15498414</v>
      </c>
      <c r="R49" s="20" t="n">
        <v>1.14179106</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46.22623334</v>
      </c>
      <c r="F55" s="20" t="n">
        <v>2.16419363</v>
      </c>
      <c r="G55" s="18" t="n">
        <v>40.09453833</v>
      </c>
      <c r="H55" s="20" t="n">
        <v>2.29409477</v>
      </c>
      <c r="I55" s="18" t="s">
        <v>349</v>
      </c>
      <c r="J55" s="20" t="s">
        <v>349</v>
      </c>
      <c r="K55" s="18" t="n">
        <v>1.68413302</v>
      </c>
      <c r="L55" s="20" t="n">
        <v>0.5892557</v>
      </c>
      <c r="M55" s="18" t="n">
        <v>0</v>
      </c>
      <c r="N55" s="20" t="n">
        <v>0</v>
      </c>
      <c r="O55" s="18" t="n">
        <v>0</v>
      </c>
      <c r="P55" s="20" t="n">
        <v>0</v>
      </c>
      <c r="Q55" s="18" t="n">
        <v>11.99509531</v>
      </c>
      <c r="R55" s="20" t="n">
        <v>1.64999433</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(2649.0/B57*100)</f>
        <v/>
      </c>
      <c r="D57" s="19" t="n">
        <v>521</v>
      </c>
      <c r="E57" s="18" t="n">
        <v>50.24549468</v>
      </c>
      <c r="F57" s="20" t="n">
        <v>2.06605466</v>
      </c>
      <c r="G57" s="18" t="n">
        <v>39.27385509</v>
      </c>
      <c r="H57" s="20" t="n">
        <v>2.14857079</v>
      </c>
      <c r="I57" s="18" t="s">
        <v>349</v>
      </c>
      <c r="J57" s="20" t="s">
        <v>349</v>
      </c>
      <c r="K57" s="18" t="n">
        <v>0.21814768</v>
      </c>
      <c r="L57" s="20" t="n">
        <v>0.19943704</v>
      </c>
      <c r="M57" s="18" t="n">
        <v>0</v>
      </c>
      <c r="N57" s="20" t="n">
        <v>0</v>
      </c>
      <c r="O57" s="18" t="n">
        <v>0</v>
      </c>
      <c r="P57" s="20" t="n">
        <v>0</v>
      </c>
      <c r="Q57" s="18" t="n">
        <v>10.26250256</v>
      </c>
      <c r="R57" s="20" t="n">
        <v>1.30453226</v>
      </c>
    </row>
    <row r="58" spans="1:18">
      <c r="A58" s="15" t="s">
        <v>400</v>
      </c>
      <c r="B58" s="17" t="n">
        <v>3530</v>
      </c>
      <c r="C58" s="18">
        <f>(2930.0/B58*100)</f>
        <v/>
      </c>
      <c r="D58" s="19" t="n">
        <v>600</v>
      </c>
      <c r="E58" s="18" t="n">
        <v>50.94564356</v>
      </c>
      <c r="F58" s="20" t="n">
        <v>2.27476615</v>
      </c>
      <c r="G58" s="18" t="n">
        <v>40.69304085</v>
      </c>
      <c r="H58" s="20" t="n">
        <v>2.12760841</v>
      </c>
      <c r="I58" s="18" t="s">
        <v>349</v>
      </c>
      <c r="J58" s="20" t="s">
        <v>349</v>
      </c>
      <c r="K58" s="18" t="n">
        <v>2.63515196</v>
      </c>
      <c r="L58" s="20" t="n">
        <v>0.60505039</v>
      </c>
      <c r="M58" s="18" t="n">
        <v>0</v>
      </c>
      <c r="N58" s="20" t="n">
        <v>0</v>
      </c>
      <c r="O58" s="18" t="n">
        <v>0</v>
      </c>
      <c r="P58" s="20" t="n">
        <v>0</v>
      </c>
      <c r="Q58" s="18" t="n">
        <v>5.72616363</v>
      </c>
      <c r="R58" s="20" t="n">
        <v>0.99474944</v>
      </c>
    </row>
    <row r="59" spans="1:18">
      <c r="A59" s="15" t="s">
        <v>401</v>
      </c>
      <c r="B59" s="17" t="n">
        <v>2548</v>
      </c>
      <c r="C59" s="18">
        <f>(2118.0/B59*100)</f>
        <v/>
      </c>
      <c r="D59" s="19" t="n">
        <v>430</v>
      </c>
      <c r="E59" s="18" t="n">
        <v>47.26295099</v>
      </c>
      <c r="F59" s="20" t="n">
        <v>2.85340632</v>
      </c>
      <c r="G59" s="18" t="n">
        <v>44.41906231</v>
      </c>
      <c r="H59" s="20" t="n">
        <v>3.13762437</v>
      </c>
      <c r="I59" s="18" t="s">
        <v>349</v>
      </c>
      <c r="J59" s="20" t="s">
        <v>349</v>
      </c>
      <c r="K59" s="18" t="n">
        <v>1.40556841</v>
      </c>
      <c r="L59" s="20" t="n">
        <v>0.76966641</v>
      </c>
      <c r="M59" s="18" t="n">
        <v>0</v>
      </c>
      <c r="N59" s="20" t="n">
        <v>0</v>
      </c>
      <c r="O59" s="18" t="n">
        <v>0</v>
      </c>
      <c r="P59" s="20" t="n">
        <v>0</v>
      </c>
      <c r="Q59" s="18" t="n">
        <v>6.91241829</v>
      </c>
      <c r="R59" s="20" t="n">
        <v>1.42371072</v>
      </c>
    </row>
    <row r="60" spans="1:18">
      <c r="A60" s="15" t="s">
        <v>402</v>
      </c>
      <c r="B60" s="17" t="n">
        <v>2095</v>
      </c>
      <c r="C60" s="18">
        <f>(1764.0/B60*100)</f>
        <v/>
      </c>
      <c r="D60" s="19" t="n">
        <v>331</v>
      </c>
      <c r="E60" s="18" t="n">
        <v>35.14654984</v>
      </c>
      <c r="F60" s="20" t="n">
        <v>2.7669356</v>
      </c>
      <c r="G60" s="18" t="n">
        <v>56.3376109</v>
      </c>
      <c r="H60" s="20" t="n">
        <v>2.82534097</v>
      </c>
      <c r="I60" s="18" t="s">
        <v>349</v>
      </c>
      <c r="J60" s="20" t="s">
        <v>349</v>
      </c>
      <c r="K60" s="18" t="n">
        <v>3.15543919</v>
      </c>
      <c r="L60" s="20" t="n">
        <v>1.07642905</v>
      </c>
      <c r="M60" s="18" t="n">
        <v>0</v>
      </c>
      <c r="N60" s="20" t="n">
        <v>0</v>
      </c>
      <c r="O60" s="18" t="n">
        <v>0.1443945</v>
      </c>
      <c r="P60" s="20" t="n">
        <v>0.14622532</v>
      </c>
      <c r="Q60" s="18" t="n">
        <v>5.21600557</v>
      </c>
      <c r="R60" s="20" t="n">
        <v>1.37524994</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42.42795487</v>
      </c>
      <c r="F63" s="20" t="n">
        <v>2.48306132</v>
      </c>
      <c r="G63" s="18" t="n">
        <v>42.74189393</v>
      </c>
      <c r="H63" s="20" t="n">
        <v>2.32486468</v>
      </c>
      <c r="I63" s="18" t="s">
        <v>349</v>
      </c>
      <c r="J63" s="20" t="s">
        <v>349</v>
      </c>
      <c r="K63" s="18" t="n">
        <v>2.89991195</v>
      </c>
      <c r="L63" s="20" t="n">
        <v>0.88188848</v>
      </c>
      <c r="M63" s="18" t="n">
        <v>0</v>
      </c>
      <c r="N63" s="20" t="n">
        <v>0</v>
      </c>
      <c r="O63" s="18" t="n">
        <v>0</v>
      </c>
      <c r="P63" s="20" t="n">
        <v>0</v>
      </c>
      <c r="Q63" s="18" t="n">
        <v>11.93023925</v>
      </c>
      <c r="R63" s="20" t="n">
        <v>1.76290358</v>
      </c>
    </row>
    <row r="64" spans="1:18">
      <c r="A64" s="15" t="s">
        <v>406</v>
      </c>
      <c r="B64" s="17" t="n">
        <v>1844</v>
      </c>
      <c r="C64" s="18">
        <f>(1531.0/B64*100)</f>
        <v/>
      </c>
      <c r="D64" s="19" t="n">
        <v>313</v>
      </c>
      <c r="E64" s="18" t="n">
        <v>26.79293922</v>
      </c>
      <c r="F64" s="20" t="n">
        <v>2.59497454</v>
      </c>
      <c r="G64" s="18" t="n">
        <v>71.30115120000001</v>
      </c>
      <c r="H64" s="20" t="n">
        <v>2.76179732</v>
      </c>
      <c r="I64" s="18" t="s">
        <v>349</v>
      </c>
      <c r="J64" s="20" t="s">
        <v>349</v>
      </c>
      <c r="K64" s="18" t="n">
        <v>0.33682884</v>
      </c>
      <c r="L64" s="20" t="n">
        <v>0.33529931</v>
      </c>
      <c r="M64" s="18" t="n">
        <v>0</v>
      </c>
      <c r="N64" s="20" t="n">
        <v>0</v>
      </c>
      <c r="O64" s="18" t="n">
        <v>0</v>
      </c>
      <c r="P64" s="20" t="n">
        <v>0</v>
      </c>
      <c r="Q64" s="18" t="n">
        <v>1.56908075</v>
      </c>
      <c r="R64" s="20" t="n">
        <v>0.71575352</v>
      </c>
    </row>
    <row r="65" spans="1:18">
      <c r="A65" s="15" t="s">
        <v>407</v>
      </c>
      <c r="B65" s="17" t="n">
        <v>2691</v>
      </c>
      <c r="C65" s="18">
        <f>(2226.0/B65*100)</f>
        <v/>
      </c>
      <c r="D65" s="19" t="n">
        <v>465</v>
      </c>
      <c r="E65" s="18" t="n">
        <v>35.13884798</v>
      </c>
      <c r="F65" s="20" t="n">
        <v>2.3350224</v>
      </c>
      <c r="G65" s="18" t="n">
        <v>52.6295597</v>
      </c>
      <c r="H65" s="20" t="n">
        <v>2.47185299</v>
      </c>
      <c r="I65" s="18" t="s">
        <v>349</v>
      </c>
      <c r="J65" s="20" t="s">
        <v>349</v>
      </c>
      <c r="K65" s="18" t="n">
        <v>5.03154137</v>
      </c>
      <c r="L65" s="20" t="n">
        <v>1.09610052</v>
      </c>
      <c r="M65" s="18" t="n">
        <v>0</v>
      </c>
      <c r="N65" s="20" t="n">
        <v>0</v>
      </c>
      <c r="O65" s="18" t="n">
        <v>0</v>
      </c>
      <c r="P65" s="20" t="n">
        <v>0</v>
      </c>
      <c r="Q65" s="18" t="n">
        <v>7.20005096</v>
      </c>
      <c r="R65" s="20" t="n">
        <v>1.26604729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35.54640635</v>
      </c>
      <c r="F69" s="20" t="n">
        <v>3.05448589</v>
      </c>
      <c r="G69" s="18" t="n">
        <v>64.45359365</v>
      </c>
      <c r="H69" s="20" t="n">
        <v>3.05448589</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38.95743034</v>
      </c>
      <c r="F74" s="20" t="n">
        <v>2.72228543</v>
      </c>
      <c r="G74" s="18" t="n">
        <v>46.94975418</v>
      </c>
      <c r="H74" s="20" t="n">
        <v>2.99353871</v>
      </c>
      <c r="I74" s="18" t="s">
        <v>349</v>
      </c>
      <c r="J74" s="20" t="s">
        <v>349</v>
      </c>
      <c r="K74" s="18" t="n">
        <v>8.027905990000001</v>
      </c>
      <c r="L74" s="20" t="n">
        <v>1.74894944</v>
      </c>
      <c r="M74" s="18" t="n">
        <v>0</v>
      </c>
      <c r="N74" s="20" t="n">
        <v>0</v>
      </c>
      <c r="O74" s="18" t="n">
        <v>0</v>
      </c>
      <c r="P74" s="20" t="n">
        <v>0</v>
      </c>
      <c r="Q74" s="18" t="n">
        <v>6.06490949</v>
      </c>
      <c r="R74" s="20" t="n">
        <v>1.14684268</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30.16660086</v>
      </c>
      <c r="F78" s="20" t="n">
        <v>2.37850206</v>
      </c>
      <c r="G78" s="18" t="n">
        <v>69.83339914</v>
      </c>
      <c r="H78" s="20" t="n">
        <v>2.37850206</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(655.0/B79*100)</f>
        <v/>
      </c>
      <c r="D79" s="19" t="n">
        <v>132</v>
      </c>
      <c r="E79" s="18" t="n">
        <v>24.82059115</v>
      </c>
      <c r="F79" s="20" t="n">
        <v>3.81765487</v>
      </c>
      <c r="G79" s="18" t="n">
        <v>69.57383863</v>
      </c>
      <c r="H79" s="20" t="n">
        <v>3.87443855</v>
      </c>
      <c r="I79" s="18" t="s">
        <v>349</v>
      </c>
      <c r="J79" s="20" t="s">
        <v>349</v>
      </c>
      <c r="K79" s="18" t="n">
        <v>2.17886633</v>
      </c>
      <c r="L79" s="20" t="n">
        <v>1.28879684</v>
      </c>
      <c r="M79" s="18" t="n">
        <v>0</v>
      </c>
      <c r="N79" s="20" t="n">
        <v>0</v>
      </c>
      <c r="O79" s="18" t="n">
        <v>0</v>
      </c>
      <c r="P79" s="20" t="n">
        <v>0</v>
      </c>
      <c r="Q79" s="18" t="n">
        <v>3.42670389</v>
      </c>
      <c r="R79" s="20" t="n">
        <v>2.3791777</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535</v>
      </c>
    </row>
    <row customHeight="1" ht="30" r="4" spans="1:26">
      <c r="A4" s="6" t="n"/>
      <c r="B4" s="7" t="s">
        <v>333</v>
      </c>
      <c r="C4" s="7" t="s">
        <v>334</v>
      </c>
      <c r="D4" s="8" t="s">
        <v>333</v>
      </c>
      <c r="E4" s="9" t="s">
        <v>440</v>
      </c>
      <c r="F4" s="10" t="n"/>
      <c r="G4" s="9" t="s">
        <v>536</v>
      </c>
      <c r="H4" s="10" t="n"/>
      <c r="I4" s="9" t="s">
        <v>441</v>
      </c>
      <c r="J4" s="10" t="n"/>
      <c r="K4" s="9" t="s">
        <v>442</v>
      </c>
      <c r="L4" s="10" t="n"/>
      <c r="M4" s="9" t="s">
        <v>443</v>
      </c>
      <c r="N4" s="10" t="n"/>
      <c r="O4" s="9" t="s">
        <v>444</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row>
    <row r="6" spans="1:26">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row>
    <row r="8" spans="1:26">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row>
    <row r="9" spans="1:26">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row>
    <row r="10" spans="1:26">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row>
    <row r="11" spans="1:26">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row>
    <row r="12" spans="1:26">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row>
    <row r="13" spans="1:26">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row>
    <row r="14" spans="1:26">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row>
    <row r="15" spans="1:26">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row>
    <row r="16" spans="1:26">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row>
    <row r="17" spans="1:26">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row>
    <row r="18" spans="1:26">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row>
    <row r="19" spans="1:26">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row>
    <row r="20" spans="1:26">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row>
    <row r="21" spans="1:26">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row>
    <row r="22" spans="1:26">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row>
    <row r="23" spans="1:26">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row>
    <row r="24" spans="1:26">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row>
    <row r="25" spans="1:26">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row>
    <row r="26" spans="1:26">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row>
    <row r="27" spans="1:26">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row>
    <row r="28" spans="1:26">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row>
    <row r="29" spans="1:26">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row>
    <row r="30" spans="1:26">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row>
    <row r="31" spans="1:26">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row>
    <row r="32" spans="1:26">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row>
    <row r="33" spans="1:26">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row>
    <row r="34" spans="1:26">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row>
    <row r="35" spans="1:26">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row>
    <row r="36" spans="1:26">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row>
    <row r="37" spans="1:26">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row>
    <row r="38" spans="1:26">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row>
    <row r="39" spans="1:26">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row>
    <row r="40" spans="1:26">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row>
    <row r="41" spans="1:26">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row>
    <row r="42" spans="1:26">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386</v>
      </c>
      <c r="B44" s="17" t="n">
        <v>2524</v>
      </c>
      <c r="C44" s="18">
        <f>(2090.0/B44*100)</f>
        <v/>
      </c>
      <c r="D44" s="19" t="n">
        <v>434</v>
      </c>
      <c r="E44" s="18" t="n">
        <v>21.8134439</v>
      </c>
      <c r="F44" s="20" t="n">
        <v>2.2676131</v>
      </c>
      <c r="G44" s="18" t="n">
        <v>0</v>
      </c>
      <c r="H44" s="20" t="n">
        <v>0</v>
      </c>
      <c r="I44" s="18" t="n">
        <v>4.54577263</v>
      </c>
      <c r="J44" s="20" t="n">
        <v>1.24316246</v>
      </c>
      <c r="K44" s="18" t="n">
        <v>3.87640489</v>
      </c>
      <c r="L44" s="20" t="n">
        <v>0.96309975</v>
      </c>
      <c r="M44" s="18" t="n">
        <v>2.368384</v>
      </c>
      <c r="N44" s="20" t="n">
        <v>0.92720098</v>
      </c>
      <c r="O44" s="18" t="n">
        <v>15.40382034</v>
      </c>
      <c r="P44" s="20" t="n">
        <v>2.32672194</v>
      </c>
      <c r="Q44" s="18" t="s">
        <v>349</v>
      </c>
      <c r="R44" s="20" t="s">
        <v>349</v>
      </c>
      <c r="S44" s="18" t="n">
        <v>10.51823655</v>
      </c>
      <c r="T44" s="20" t="n">
        <v>1.99722305</v>
      </c>
      <c r="U44" s="18" t="n">
        <v>0</v>
      </c>
      <c r="V44" s="20" t="n">
        <v>0</v>
      </c>
      <c r="W44" s="18" t="n">
        <v>0</v>
      </c>
      <c r="X44" s="20" t="n">
        <v>0</v>
      </c>
      <c r="Y44" s="18" t="n">
        <v>41.47393768</v>
      </c>
      <c r="Z44" s="20" t="n">
        <v>3.14058068</v>
      </c>
    </row>
    <row r="45" spans="1:26">
      <c r="A45" s="15" t="s">
        <v>387</v>
      </c>
      <c r="B45" s="17" t="n">
        <v>2849</v>
      </c>
      <c r="C45" s="18">
        <f>(2395.0/B45*100)</f>
        <v/>
      </c>
      <c r="D45" s="19" t="n">
        <v>454</v>
      </c>
      <c r="E45" s="18" t="n">
        <v>38.69673619</v>
      </c>
      <c r="F45" s="20" t="n">
        <v>2.72299815</v>
      </c>
      <c r="G45" s="18" t="n">
        <v>0</v>
      </c>
      <c r="H45" s="20" t="n">
        <v>0</v>
      </c>
      <c r="I45" s="18" t="n">
        <v>1.87324314</v>
      </c>
      <c r="J45" s="20" t="n">
        <v>1.30600233</v>
      </c>
      <c r="K45" s="18" t="n">
        <v>0.82728124</v>
      </c>
      <c r="L45" s="20" t="n">
        <v>0.41403168</v>
      </c>
      <c r="M45" s="18" t="n">
        <v>0.25719176</v>
      </c>
      <c r="N45" s="20" t="n">
        <v>0.24887256</v>
      </c>
      <c r="O45" s="18" t="n">
        <v>4.64056834</v>
      </c>
      <c r="P45" s="20" t="n">
        <v>0.95296415</v>
      </c>
      <c r="Q45" s="18" t="s">
        <v>349</v>
      </c>
      <c r="R45" s="20" t="s">
        <v>349</v>
      </c>
      <c r="S45" s="18" t="n">
        <v>7.95369115</v>
      </c>
      <c r="T45" s="20" t="n">
        <v>1.38305302</v>
      </c>
      <c r="U45" s="18" t="n">
        <v>0</v>
      </c>
      <c r="V45" s="20" t="n">
        <v>0</v>
      </c>
      <c r="W45" s="18" t="n">
        <v>0</v>
      </c>
      <c r="X45" s="20" t="n">
        <v>0</v>
      </c>
      <c r="Y45" s="18" t="n">
        <v>45.75128818</v>
      </c>
      <c r="Z45" s="20" t="n">
        <v>2.61976898</v>
      </c>
    </row>
    <row r="46" spans="1:26">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row>
    <row r="47" spans="1:26">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row>
    <row r="48" spans="1:26">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row>
    <row r="49" spans="1:26">
      <c r="A49" s="15" t="s">
        <v>391</v>
      </c>
      <c r="B49" s="17" t="n">
        <v>3018</v>
      </c>
      <c r="C49" s="18">
        <f>(2503.0/B49*100)</f>
        <v/>
      </c>
      <c r="D49" s="19" t="n">
        <v>515</v>
      </c>
      <c r="E49" s="18" t="n">
        <v>26.06649562</v>
      </c>
      <c r="F49" s="20" t="n">
        <v>2.15133794</v>
      </c>
      <c r="G49" s="18" t="n">
        <v>0</v>
      </c>
      <c r="H49" s="20" t="n">
        <v>0</v>
      </c>
      <c r="I49" s="18" t="n">
        <v>4.20075561</v>
      </c>
      <c r="J49" s="20" t="n">
        <v>0.86063172</v>
      </c>
      <c r="K49" s="18" t="n">
        <v>3.2959895</v>
      </c>
      <c r="L49" s="20" t="n">
        <v>0.8978675699999999</v>
      </c>
      <c r="M49" s="18" t="n">
        <v>1.02446259</v>
      </c>
      <c r="N49" s="20" t="n">
        <v>0.4677836</v>
      </c>
      <c r="O49" s="18" t="n">
        <v>21.84569507</v>
      </c>
      <c r="P49" s="20" t="n">
        <v>2.51548447</v>
      </c>
      <c r="Q49" s="18" t="s">
        <v>349</v>
      </c>
      <c r="R49" s="20" t="s">
        <v>349</v>
      </c>
      <c r="S49" s="18" t="n">
        <v>2.42226544</v>
      </c>
      <c r="T49" s="20" t="n">
        <v>0.73150361</v>
      </c>
      <c r="U49" s="18" t="n">
        <v>0</v>
      </c>
      <c r="V49" s="20" t="n">
        <v>0</v>
      </c>
      <c r="W49" s="18" t="n">
        <v>0</v>
      </c>
      <c r="X49" s="20" t="n">
        <v>0</v>
      </c>
      <c r="Y49" s="18" t="n">
        <v>41.14433617</v>
      </c>
      <c r="Z49" s="20" t="n">
        <v>2.52993301</v>
      </c>
    </row>
    <row r="50" spans="1:26">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row>
    <row r="51" spans="1:26">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row>
    <row r="52" spans="1:26">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row>
    <row r="53" spans="1:26">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row>
    <row r="54" spans="1:26">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row>
    <row r="55" spans="1:26">
      <c r="A55" s="15" t="s">
        <v>397</v>
      </c>
      <c r="B55" s="17" t="n">
        <v>2759</v>
      </c>
      <c r="C55" s="18">
        <f>(2297.0/B55*100)</f>
        <v/>
      </c>
      <c r="D55" s="19" t="n">
        <v>462</v>
      </c>
      <c r="E55" s="18" t="n">
        <v>13.40690931</v>
      </c>
      <c r="F55" s="20" t="n">
        <v>1.63132333</v>
      </c>
      <c r="G55" s="18" t="n">
        <v>0</v>
      </c>
      <c r="H55" s="20" t="n">
        <v>0</v>
      </c>
      <c r="I55" s="18" t="n">
        <v>1.61873548</v>
      </c>
      <c r="J55" s="20" t="n">
        <v>0.66614155</v>
      </c>
      <c r="K55" s="18" t="n">
        <v>3.33099247</v>
      </c>
      <c r="L55" s="20" t="n">
        <v>0.89264557</v>
      </c>
      <c r="M55" s="18" t="n">
        <v>5.10511609</v>
      </c>
      <c r="N55" s="20" t="n">
        <v>1.12164472</v>
      </c>
      <c r="O55" s="18" t="n">
        <v>18.96633689</v>
      </c>
      <c r="P55" s="20" t="n">
        <v>1.97444881</v>
      </c>
      <c r="Q55" s="18" t="s">
        <v>349</v>
      </c>
      <c r="R55" s="20" t="s">
        <v>349</v>
      </c>
      <c r="S55" s="18" t="n">
        <v>2.103294</v>
      </c>
      <c r="T55" s="20" t="n">
        <v>0.62753584</v>
      </c>
      <c r="U55" s="18" t="n">
        <v>0</v>
      </c>
      <c r="V55" s="20" t="n">
        <v>0</v>
      </c>
      <c r="W55" s="18" t="n">
        <v>0</v>
      </c>
      <c r="X55" s="20" t="n">
        <v>0</v>
      </c>
      <c r="Y55" s="18" t="n">
        <v>55.46861578</v>
      </c>
      <c r="Z55" s="20" t="n">
        <v>2.56322494</v>
      </c>
    </row>
    <row r="56" spans="1:26">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row>
    <row r="57" spans="1:26">
      <c r="A57" s="15" t="s">
        <v>399</v>
      </c>
      <c r="B57" s="17" t="n">
        <v>3170</v>
      </c>
      <c r="C57" s="18">
        <f>(2649.0/B57*100)</f>
        <v/>
      </c>
      <c r="D57" s="19" t="n">
        <v>521</v>
      </c>
      <c r="E57" s="18" t="n">
        <v>58.07833391</v>
      </c>
      <c r="F57" s="20" t="n">
        <v>2.5442134</v>
      </c>
      <c r="G57" s="18" t="n">
        <v>0</v>
      </c>
      <c r="H57" s="20" t="n">
        <v>0</v>
      </c>
      <c r="I57" s="18" t="n">
        <v>4.36979857</v>
      </c>
      <c r="J57" s="20" t="n">
        <v>1.0311416</v>
      </c>
      <c r="K57" s="18" t="n">
        <v>5.99231639</v>
      </c>
      <c r="L57" s="20" t="n">
        <v>1.14606789</v>
      </c>
      <c r="M57" s="18" t="n">
        <v>1.71834145</v>
      </c>
      <c r="N57" s="20" t="n">
        <v>0.66561131</v>
      </c>
      <c r="O57" s="18" t="n">
        <v>14.78811927</v>
      </c>
      <c r="P57" s="20" t="n">
        <v>1.92151937</v>
      </c>
      <c r="Q57" s="18" t="s">
        <v>349</v>
      </c>
      <c r="R57" s="20" t="s">
        <v>349</v>
      </c>
      <c r="S57" s="18" t="n">
        <v>0.59974407</v>
      </c>
      <c r="T57" s="20" t="n">
        <v>0.33936866</v>
      </c>
      <c r="U57" s="18" t="n">
        <v>0</v>
      </c>
      <c r="V57" s="20" t="n">
        <v>0</v>
      </c>
      <c r="W57" s="18" t="n">
        <v>0</v>
      </c>
      <c r="X57" s="20" t="n">
        <v>0</v>
      </c>
      <c r="Y57" s="18" t="n">
        <v>14.45334634</v>
      </c>
      <c r="Z57" s="20" t="n">
        <v>2.20193805</v>
      </c>
    </row>
    <row r="58" spans="1:26">
      <c r="A58" s="15" t="s">
        <v>400</v>
      </c>
      <c r="B58" s="17" t="n">
        <v>3530</v>
      </c>
      <c r="C58" s="18">
        <f>(2930.0/B58*100)</f>
        <v/>
      </c>
      <c r="D58" s="19" t="n">
        <v>600</v>
      </c>
      <c r="E58" s="18" t="n">
        <v>45.09274321</v>
      </c>
      <c r="F58" s="20" t="n">
        <v>3.03688674</v>
      </c>
      <c r="G58" s="18" t="n">
        <v>0</v>
      </c>
      <c r="H58" s="20" t="n">
        <v>0</v>
      </c>
      <c r="I58" s="18" t="n">
        <v>6.8588044</v>
      </c>
      <c r="J58" s="20" t="n">
        <v>1.38683103</v>
      </c>
      <c r="K58" s="18" t="n">
        <v>3.18291781</v>
      </c>
      <c r="L58" s="20" t="n">
        <v>0.75231827</v>
      </c>
      <c r="M58" s="18" t="n">
        <v>0.86735858</v>
      </c>
      <c r="N58" s="20" t="n">
        <v>0.5118819999999999</v>
      </c>
      <c r="O58" s="18" t="n">
        <v>13.57959138</v>
      </c>
      <c r="P58" s="20" t="n">
        <v>1.51804723</v>
      </c>
      <c r="Q58" s="18" t="s">
        <v>349</v>
      </c>
      <c r="R58" s="20" t="s">
        <v>349</v>
      </c>
      <c r="S58" s="18" t="n">
        <v>3.35971768</v>
      </c>
      <c r="T58" s="20" t="n">
        <v>0.64217081</v>
      </c>
      <c r="U58" s="18" t="n">
        <v>0</v>
      </c>
      <c r="V58" s="20" t="n">
        <v>0</v>
      </c>
      <c r="W58" s="18" t="n">
        <v>0</v>
      </c>
      <c r="X58" s="20" t="n">
        <v>0</v>
      </c>
      <c r="Y58" s="18" t="n">
        <v>27.05886695</v>
      </c>
      <c r="Z58" s="20" t="n">
        <v>2.70436129</v>
      </c>
    </row>
    <row r="59" spans="1:26">
      <c r="A59" s="15" t="s">
        <v>401</v>
      </c>
      <c r="B59" s="17" t="n">
        <v>2548</v>
      </c>
      <c r="C59" s="18">
        <f>(2118.0/B59*100)</f>
        <v/>
      </c>
      <c r="D59" s="19" t="n">
        <v>430</v>
      </c>
      <c r="E59" s="18" t="n">
        <v>41.66891486</v>
      </c>
      <c r="F59" s="20" t="n">
        <v>2.90855707</v>
      </c>
      <c r="G59" s="18" t="n">
        <v>0</v>
      </c>
      <c r="H59" s="20" t="n">
        <v>0</v>
      </c>
      <c r="I59" s="18" t="n">
        <v>3.00895077</v>
      </c>
      <c r="J59" s="20" t="n">
        <v>1.21764406</v>
      </c>
      <c r="K59" s="18" t="n">
        <v>4.9586185</v>
      </c>
      <c r="L59" s="20" t="n">
        <v>1.16134764</v>
      </c>
      <c r="M59" s="18" t="n">
        <v>0.41917691</v>
      </c>
      <c r="N59" s="20" t="n">
        <v>0.2841946</v>
      </c>
      <c r="O59" s="18" t="n">
        <v>11.60402439</v>
      </c>
      <c r="P59" s="20" t="n">
        <v>2.08649124</v>
      </c>
      <c r="Q59" s="18" t="s">
        <v>349</v>
      </c>
      <c r="R59" s="20" t="s">
        <v>349</v>
      </c>
      <c r="S59" s="18" t="n">
        <v>1.63151392</v>
      </c>
      <c r="T59" s="20" t="n">
        <v>0.78873925</v>
      </c>
      <c r="U59" s="18" t="n">
        <v>0</v>
      </c>
      <c r="V59" s="20" t="n">
        <v>0</v>
      </c>
      <c r="W59" s="18" t="n">
        <v>0</v>
      </c>
      <c r="X59" s="20" t="n">
        <v>0</v>
      </c>
      <c r="Y59" s="18" t="n">
        <v>36.70880065</v>
      </c>
      <c r="Z59" s="20" t="n">
        <v>2.3008751</v>
      </c>
    </row>
    <row r="60" spans="1:26">
      <c r="A60" s="15" t="s">
        <v>402</v>
      </c>
      <c r="B60" s="17" t="n">
        <v>2095</v>
      </c>
      <c r="C60" s="18">
        <f>(1764.0/B60*100)</f>
        <v/>
      </c>
      <c r="D60" s="19" t="n">
        <v>331</v>
      </c>
      <c r="E60" s="18" t="n">
        <v>22.26084162</v>
      </c>
      <c r="F60" s="20" t="n">
        <v>2.51471926</v>
      </c>
      <c r="G60" s="18" t="n">
        <v>0</v>
      </c>
      <c r="H60" s="20" t="n">
        <v>0</v>
      </c>
      <c r="I60" s="18" t="n">
        <v>2.02763558</v>
      </c>
      <c r="J60" s="20" t="n">
        <v>1.0300322</v>
      </c>
      <c r="K60" s="18" t="n">
        <v>8.36314116</v>
      </c>
      <c r="L60" s="20" t="n">
        <v>2.0606911</v>
      </c>
      <c r="M60" s="18" t="n">
        <v>3.10142662</v>
      </c>
      <c r="N60" s="20" t="n">
        <v>0.96785769</v>
      </c>
      <c r="O60" s="18" t="n">
        <v>32.94268111</v>
      </c>
      <c r="P60" s="20" t="n">
        <v>2.8020467</v>
      </c>
      <c r="Q60" s="18" t="s">
        <v>349</v>
      </c>
      <c r="R60" s="20" t="s">
        <v>349</v>
      </c>
      <c r="S60" s="18" t="n">
        <v>4.82147409</v>
      </c>
      <c r="T60" s="20" t="n">
        <v>1.21872648</v>
      </c>
      <c r="U60" s="18" t="n">
        <v>0</v>
      </c>
      <c r="V60" s="20" t="n">
        <v>0</v>
      </c>
      <c r="W60" s="18" t="n">
        <v>0</v>
      </c>
      <c r="X60" s="20" t="n">
        <v>0</v>
      </c>
      <c r="Y60" s="18" t="n">
        <v>26.48279982</v>
      </c>
      <c r="Z60" s="20" t="n">
        <v>2.75281586</v>
      </c>
    </row>
    <row r="61" spans="1:26">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row>
    <row r="62" spans="1:26">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row>
    <row r="63" spans="1:26">
      <c r="A63" s="15" t="s">
        <v>405</v>
      </c>
      <c r="B63" s="17" t="n">
        <v>2813</v>
      </c>
      <c r="C63" s="18">
        <f>(2368.0/B63*100)</f>
        <v/>
      </c>
      <c r="D63" s="19" t="n">
        <v>445</v>
      </c>
      <c r="E63" s="18" t="n">
        <v>11.76646407</v>
      </c>
      <c r="F63" s="20" t="n">
        <v>1.93952632</v>
      </c>
      <c r="G63" s="18" t="n">
        <v>0</v>
      </c>
      <c r="H63" s="20" t="n">
        <v>0</v>
      </c>
      <c r="I63" s="18" t="n">
        <v>1.84738964</v>
      </c>
      <c r="J63" s="20" t="n">
        <v>0.63102435</v>
      </c>
      <c r="K63" s="18" t="n">
        <v>4.44394406</v>
      </c>
      <c r="L63" s="20" t="n">
        <v>0.97821486</v>
      </c>
      <c r="M63" s="18" t="n">
        <v>0.28809087</v>
      </c>
      <c r="N63" s="20" t="n">
        <v>0.22604277</v>
      </c>
      <c r="O63" s="18" t="n">
        <v>11.47242014</v>
      </c>
      <c r="P63" s="20" t="n">
        <v>1.85185372</v>
      </c>
      <c r="Q63" s="18" t="s">
        <v>349</v>
      </c>
      <c r="R63" s="20" t="s">
        <v>349</v>
      </c>
      <c r="S63" s="18" t="n">
        <v>3.18528116</v>
      </c>
      <c r="T63" s="20" t="n">
        <v>0.9260665300000001</v>
      </c>
      <c r="U63" s="18" t="n">
        <v>0</v>
      </c>
      <c r="V63" s="20" t="n">
        <v>0</v>
      </c>
      <c r="W63" s="18" t="n">
        <v>0</v>
      </c>
      <c r="X63" s="20" t="n">
        <v>0</v>
      </c>
      <c r="Y63" s="18" t="n">
        <v>66.99641006</v>
      </c>
      <c r="Z63" s="20" t="n">
        <v>2.39934115</v>
      </c>
    </row>
    <row r="64" spans="1:26">
      <c r="A64" s="15" t="s">
        <v>406</v>
      </c>
      <c r="B64" s="17" t="n">
        <v>1844</v>
      </c>
      <c r="C64" s="18">
        <f>(1531.0/B64*100)</f>
        <v/>
      </c>
      <c r="D64" s="19" t="n">
        <v>313</v>
      </c>
      <c r="E64" s="18" t="n">
        <v>19.05844376</v>
      </c>
      <c r="F64" s="20" t="n">
        <v>2.25480814</v>
      </c>
      <c r="G64" s="18" t="n">
        <v>0</v>
      </c>
      <c r="H64" s="20" t="n">
        <v>0</v>
      </c>
      <c r="I64" s="18" t="n">
        <v>4.07158157</v>
      </c>
      <c r="J64" s="20" t="n">
        <v>1.15497497</v>
      </c>
      <c r="K64" s="18" t="n">
        <v>13.23720616</v>
      </c>
      <c r="L64" s="20" t="n">
        <v>1.72146764</v>
      </c>
      <c r="M64" s="18" t="n">
        <v>1.79778484</v>
      </c>
      <c r="N64" s="20" t="n">
        <v>0.77498943</v>
      </c>
      <c r="O64" s="18" t="n">
        <v>40.78968631</v>
      </c>
      <c r="P64" s="20" t="n">
        <v>2.54513944</v>
      </c>
      <c r="Q64" s="18" t="s">
        <v>349</v>
      </c>
      <c r="R64" s="20" t="s">
        <v>349</v>
      </c>
      <c r="S64" s="18" t="n">
        <v>0.64481434</v>
      </c>
      <c r="T64" s="20" t="n">
        <v>0.45197573</v>
      </c>
      <c r="U64" s="18" t="n">
        <v>0</v>
      </c>
      <c r="V64" s="20" t="n">
        <v>0</v>
      </c>
      <c r="W64" s="18" t="n">
        <v>0</v>
      </c>
      <c r="X64" s="20" t="n">
        <v>0</v>
      </c>
      <c r="Y64" s="18" t="n">
        <v>20.40048302</v>
      </c>
      <c r="Z64" s="20" t="n">
        <v>2.00791319</v>
      </c>
    </row>
    <row r="65" spans="1:26">
      <c r="A65" s="15" t="s">
        <v>407</v>
      </c>
      <c r="B65" s="17" t="n">
        <v>2691</v>
      </c>
      <c r="C65" s="18">
        <f>(2226.0/B65*100)</f>
        <v/>
      </c>
      <c r="D65" s="19" t="n">
        <v>465</v>
      </c>
      <c r="E65" s="18" t="n">
        <v>13.58684162</v>
      </c>
      <c r="F65" s="20" t="n">
        <v>1.82253735</v>
      </c>
      <c r="G65" s="18" t="n">
        <v>0</v>
      </c>
      <c r="H65" s="20" t="n">
        <v>0</v>
      </c>
      <c r="I65" s="18" t="n">
        <v>1.07017273</v>
      </c>
      <c r="J65" s="20" t="n">
        <v>0.46298389</v>
      </c>
      <c r="K65" s="18" t="n">
        <v>2.88562251</v>
      </c>
      <c r="L65" s="20" t="n">
        <v>0.9242209300000001</v>
      </c>
      <c r="M65" s="18" t="n">
        <v>1.38701117</v>
      </c>
      <c r="N65" s="20" t="n">
        <v>0.68716356</v>
      </c>
      <c r="O65" s="18" t="n">
        <v>25.38755846</v>
      </c>
      <c r="P65" s="20" t="n">
        <v>2.04484582</v>
      </c>
      <c r="Q65" s="18" t="s">
        <v>349</v>
      </c>
      <c r="R65" s="20" t="s">
        <v>349</v>
      </c>
      <c r="S65" s="18" t="n">
        <v>7.11076862</v>
      </c>
      <c r="T65" s="20" t="n">
        <v>1.29072025</v>
      </c>
      <c r="U65" s="18" t="n">
        <v>0</v>
      </c>
      <c r="V65" s="20" t="n">
        <v>0</v>
      </c>
      <c r="W65" s="18" t="n">
        <v>0</v>
      </c>
      <c r="X65" s="20" t="n">
        <v>0</v>
      </c>
      <c r="Y65" s="18" t="n">
        <v>48.57202489</v>
      </c>
      <c r="Z65" s="20" t="n">
        <v>2.64573744</v>
      </c>
    </row>
    <row r="66" spans="1:26">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row>
    <row r="67" spans="1:26">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row>
    <row r="68" spans="1:26">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row>
    <row r="69" spans="1:26">
      <c r="A69" s="15" t="s">
        <v>411</v>
      </c>
      <c r="B69" s="17" t="n">
        <v>2410</v>
      </c>
      <c r="C69" s="18">
        <f>(2021.0/B69*100)</f>
        <v/>
      </c>
      <c r="D69" s="19" t="n">
        <v>389</v>
      </c>
      <c r="E69" s="18" t="n">
        <v>65.65361978</v>
      </c>
      <c r="F69" s="20" t="n">
        <v>2.69337754</v>
      </c>
      <c r="G69" s="18" t="n">
        <v>0</v>
      </c>
      <c r="H69" s="20" t="n">
        <v>0</v>
      </c>
      <c r="I69" s="18" t="n">
        <v>5.99463863</v>
      </c>
      <c r="J69" s="20" t="n">
        <v>1.21677113</v>
      </c>
      <c r="K69" s="18" t="n">
        <v>3.92685171</v>
      </c>
      <c r="L69" s="20" t="n">
        <v>0.89931955</v>
      </c>
      <c r="M69" s="18" t="n">
        <v>0.4801126</v>
      </c>
      <c r="N69" s="20" t="n">
        <v>0.4770001</v>
      </c>
      <c r="O69" s="18" t="n">
        <v>23.7129931</v>
      </c>
      <c r="P69" s="20" t="n">
        <v>2.52912778</v>
      </c>
      <c r="Q69" s="18" t="s">
        <v>349</v>
      </c>
      <c r="R69" s="20" t="s">
        <v>349</v>
      </c>
      <c r="S69" s="18" t="n">
        <v>0</v>
      </c>
      <c r="T69" s="20" t="n">
        <v>0</v>
      </c>
      <c r="U69" s="18" t="n">
        <v>0</v>
      </c>
      <c r="V69" s="20" t="n">
        <v>0</v>
      </c>
      <c r="W69" s="18" t="n">
        <v>0</v>
      </c>
      <c r="X69" s="20" t="n">
        <v>0</v>
      </c>
      <c r="Y69" s="18" t="n">
        <v>0.23178418</v>
      </c>
      <c r="Z69" s="20" t="n">
        <v>0.23194075</v>
      </c>
    </row>
    <row r="70" spans="1:26">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row>
    <row r="71" spans="1:26">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row>
    <row r="72" spans="1:26">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row>
    <row r="73" spans="1:26">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row>
    <row r="74" spans="1:26">
      <c r="A74" s="15" t="s">
        <v>416</v>
      </c>
      <c r="B74" s="17" t="n">
        <v>2239</v>
      </c>
      <c r="C74" s="18">
        <f>(1862.0/B74*100)</f>
        <v/>
      </c>
      <c r="D74" s="19" t="n">
        <v>377</v>
      </c>
      <c r="E74" s="18" t="n">
        <v>18.76882308</v>
      </c>
      <c r="F74" s="20" t="n">
        <v>2.42133943</v>
      </c>
      <c r="G74" s="18" t="n">
        <v>0</v>
      </c>
      <c r="H74" s="20" t="n">
        <v>0</v>
      </c>
      <c r="I74" s="18" t="n">
        <v>1.20411761</v>
      </c>
      <c r="J74" s="20" t="n">
        <v>0.51798603</v>
      </c>
      <c r="K74" s="18" t="n">
        <v>3.97613285</v>
      </c>
      <c r="L74" s="20" t="n">
        <v>0.95100944</v>
      </c>
      <c r="M74" s="18" t="n">
        <v>0.80912042</v>
      </c>
      <c r="N74" s="20" t="n">
        <v>0.4863148</v>
      </c>
      <c r="O74" s="18" t="n">
        <v>36.15638368</v>
      </c>
      <c r="P74" s="20" t="n">
        <v>2.82404372</v>
      </c>
      <c r="Q74" s="18" t="s">
        <v>349</v>
      </c>
      <c r="R74" s="20" t="s">
        <v>349</v>
      </c>
      <c r="S74" s="18" t="n">
        <v>10.52108426</v>
      </c>
      <c r="T74" s="20" t="n">
        <v>1.88268974</v>
      </c>
      <c r="U74" s="18" t="n">
        <v>0</v>
      </c>
      <c r="V74" s="20" t="n">
        <v>0</v>
      </c>
      <c r="W74" s="18" t="n">
        <v>0</v>
      </c>
      <c r="X74" s="20" t="n">
        <v>0</v>
      </c>
      <c r="Y74" s="18" t="n">
        <v>28.5643381</v>
      </c>
      <c r="Z74" s="20" t="n">
        <v>2.42218044</v>
      </c>
    </row>
    <row r="75" spans="1:26">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row>
    <row r="76" spans="1:26">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row>
    <row r="77" spans="1:26">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row>
    <row r="78" spans="1:26">
      <c r="A78" s="15" t="s">
        <v>420</v>
      </c>
      <c r="B78" s="17" t="n">
        <v>2786</v>
      </c>
      <c r="C78" s="18">
        <f>(2329.0/B78*100)</f>
        <v/>
      </c>
      <c r="D78" s="19" t="n">
        <v>457</v>
      </c>
      <c r="E78" s="18" t="n">
        <v>39.28040415</v>
      </c>
      <c r="F78" s="20" t="n">
        <v>2.92083349</v>
      </c>
      <c r="G78" s="18" t="n">
        <v>0</v>
      </c>
      <c r="H78" s="20" t="n">
        <v>0</v>
      </c>
      <c r="I78" s="18" t="n">
        <v>4.324786</v>
      </c>
      <c r="J78" s="20" t="n">
        <v>0.87825967</v>
      </c>
      <c r="K78" s="18" t="n">
        <v>6.81995881</v>
      </c>
      <c r="L78" s="20" t="n">
        <v>1.53765711</v>
      </c>
      <c r="M78" s="18" t="n">
        <v>2.06639204</v>
      </c>
      <c r="N78" s="20" t="n">
        <v>0.616086</v>
      </c>
      <c r="O78" s="18" t="n">
        <v>44.28434258</v>
      </c>
      <c r="P78" s="20" t="n">
        <v>2.66225203</v>
      </c>
      <c r="Q78" s="18" t="s">
        <v>349</v>
      </c>
      <c r="R78" s="20" t="s">
        <v>349</v>
      </c>
      <c r="S78" s="18" t="n">
        <v>0</v>
      </c>
      <c r="T78" s="20" t="n">
        <v>0</v>
      </c>
      <c r="U78" s="18" t="n">
        <v>0</v>
      </c>
      <c r="V78" s="20" t="n">
        <v>0</v>
      </c>
      <c r="W78" s="18" t="n">
        <v>0</v>
      </c>
      <c r="X78" s="20" t="n">
        <v>0</v>
      </c>
      <c r="Y78" s="18" t="n">
        <v>3.22411642</v>
      </c>
      <c r="Z78" s="20" t="n">
        <v>0.95866955</v>
      </c>
    </row>
    <row customHeight="1" ht="25" r="79" spans="1:26">
      <c r="A79" s="15" t="s">
        <v>421</v>
      </c>
      <c r="B79" s="17" t="n">
        <v>787</v>
      </c>
      <c r="C79" s="18">
        <f>(655.0/B79*100)</f>
        <v/>
      </c>
      <c r="D79" s="19" t="n">
        <v>132</v>
      </c>
      <c r="E79" s="18" t="n">
        <v>14.0252626</v>
      </c>
      <c r="F79" s="20" t="n">
        <v>3.20037797</v>
      </c>
      <c r="G79" s="18" t="n">
        <v>0</v>
      </c>
      <c r="H79" s="20" t="n">
        <v>0</v>
      </c>
      <c r="I79" s="18" t="n">
        <v>5.98972437</v>
      </c>
      <c r="J79" s="20" t="n">
        <v>1.84814283</v>
      </c>
      <c r="K79" s="18" t="n">
        <v>4.70207376</v>
      </c>
      <c r="L79" s="20" t="n">
        <v>1.48210997</v>
      </c>
      <c r="M79" s="18" t="n">
        <v>2.58441548</v>
      </c>
      <c r="N79" s="20" t="n">
        <v>1.42080424</v>
      </c>
      <c r="O79" s="18" t="n">
        <v>35.1335281</v>
      </c>
      <c r="P79" s="20" t="n">
        <v>5.0472945</v>
      </c>
      <c r="Q79" s="18" t="s">
        <v>349</v>
      </c>
      <c r="R79" s="20" t="s">
        <v>349</v>
      </c>
      <c r="S79" s="18" t="n">
        <v>3.29728972</v>
      </c>
      <c r="T79" s="20" t="n">
        <v>1.52433758</v>
      </c>
      <c r="U79" s="18" t="n">
        <v>0</v>
      </c>
      <c r="V79" s="20" t="n">
        <v>0</v>
      </c>
      <c r="W79" s="18" t="n">
        <v>0</v>
      </c>
      <c r="X79" s="20" t="n">
        <v>0</v>
      </c>
      <c r="Y79" s="18" t="n">
        <v>34.26770596</v>
      </c>
      <c r="Z79" s="20" t="n">
        <v>5.27708002</v>
      </c>
    </row>
    <row r="80" spans="1:26">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row>
    <row r="81" spans="1:26">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row>
    <row r="82" spans="1:26">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row>
    <row r="83" spans="1:26">
      <c r="A83" s="3" t="s">
        <v>425</v>
      </c>
    </row>
    <row r="84" spans="1:26">
      <c r="A84" s="23" t="s">
        <v>426</v>
      </c>
    </row>
    <row r="85" spans="1:26">
      <c r="A85" s="23" t="s">
        <v>427</v>
      </c>
    </row>
    <row customHeight="1" ht="30" r="86" spans="1:26">
      <c r="A86" s="23" t="s">
        <v>428</v>
      </c>
    </row>
    <row customHeight="1" ht="30" r="87" spans="1:26">
      <c r="A87" s="23" t="s">
        <v>424</v>
      </c>
    </row>
    <row customHeight="1" ht="30" r="88" spans="1:26">
      <c r="A88" s="23" t="s">
        <v>429</v>
      </c>
    </row>
    <row customHeight="1" ht="30" r="89" spans="1:26">
      <c r="A89" s="23" t="s">
        <v>430</v>
      </c>
    </row>
    <row customHeight="1" ht="30" r="90" spans="1:26">
      <c r="A90" s="23" t="s">
        <v>431</v>
      </c>
    </row>
    <row customHeight="1" ht="30" r="91" spans="1:26">
      <c r="A91" s="23" t="s">
        <v>432</v>
      </c>
    </row>
    <row customHeight="1" ht="30" r="92" spans="1:26">
      <c r="A92" s="23" t="s">
        <v>433</v>
      </c>
    </row>
    <row customHeight="1" ht="30" r="93" spans="1:26">
      <c r="A93" s="23" t="s">
        <v>434</v>
      </c>
    </row>
    <row customHeight="1" ht="30" r="94" spans="1:26">
      <c r="A94" s="23" t="s">
        <v>435</v>
      </c>
    </row>
    <row customHeight="1" ht="30" r="95" spans="1:26">
      <c r="A95" s="23" t="s">
        <v>436</v>
      </c>
    </row>
    <row customHeight="1" ht="30" r="96" spans="1:26">
      <c r="A96" s="23" t="s">
        <v>437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17.17129721</v>
      </c>
      <c r="F44" s="20" t="n">
        <v>1.74928638</v>
      </c>
      <c r="G44" s="18" t="n">
        <v>26.45562818</v>
      </c>
      <c r="H44" s="20" t="n">
        <v>2.46116885</v>
      </c>
      <c r="I44" s="18" t="s">
        <v>349</v>
      </c>
      <c r="J44" s="20" t="s">
        <v>349</v>
      </c>
      <c r="K44" s="18" t="n">
        <v>10.51823655</v>
      </c>
      <c r="L44" s="20" t="n">
        <v>1.99722305</v>
      </c>
      <c r="M44" s="18" t="n">
        <v>0</v>
      </c>
      <c r="N44" s="20" t="n">
        <v>0</v>
      </c>
      <c r="O44" s="18" t="n">
        <v>0</v>
      </c>
      <c r="P44" s="20" t="n">
        <v>0</v>
      </c>
      <c r="Q44" s="18" t="n">
        <v>45.85483806</v>
      </c>
      <c r="R44" s="20" t="n">
        <v>2.76803735</v>
      </c>
    </row>
    <row r="45" spans="1:18">
      <c r="A45" s="15" t="s">
        <v>387</v>
      </c>
      <c r="B45" s="17" t="n">
        <v>2849</v>
      </c>
      <c r="C45" s="18">
        <f>(2395.0/B45*100)</f>
        <v/>
      </c>
      <c r="D45" s="19" t="n">
        <v>454</v>
      </c>
      <c r="E45" s="18" t="n">
        <v>17.58420014</v>
      </c>
      <c r="F45" s="20" t="n">
        <v>1.8965771</v>
      </c>
      <c r="G45" s="18" t="n">
        <v>13.50747567</v>
      </c>
      <c r="H45" s="20" t="n">
        <v>2.04502799</v>
      </c>
      <c r="I45" s="18" t="s">
        <v>349</v>
      </c>
      <c r="J45" s="20" t="s">
        <v>349</v>
      </c>
      <c r="K45" s="18" t="n">
        <v>7.95369115</v>
      </c>
      <c r="L45" s="20" t="n">
        <v>1.38305302</v>
      </c>
      <c r="M45" s="18" t="n">
        <v>0</v>
      </c>
      <c r="N45" s="20" t="n">
        <v>0</v>
      </c>
      <c r="O45" s="18" t="n">
        <v>0</v>
      </c>
      <c r="P45" s="20" t="n">
        <v>0</v>
      </c>
      <c r="Q45" s="18" t="n">
        <v>60.95463304</v>
      </c>
      <c r="R45" s="20" t="n">
        <v>2.53205817</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22.24083471</v>
      </c>
      <c r="F49" s="20" t="n">
        <v>1.99389995</v>
      </c>
      <c r="G49" s="18" t="n">
        <v>36.47885221</v>
      </c>
      <c r="H49" s="20" t="n">
        <v>2.67608292</v>
      </c>
      <c r="I49" s="18" t="s">
        <v>349</v>
      </c>
      <c r="J49" s="20" t="s">
        <v>349</v>
      </c>
      <c r="K49" s="18" t="n">
        <v>2.8541046</v>
      </c>
      <c r="L49" s="20" t="n">
        <v>0.82499202</v>
      </c>
      <c r="M49" s="18" t="n">
        <v>0</v>
      </c>
      <c r="N49" s="20" t="n">
        <v>0</v>
      </c>
      <c r="O49" s="18" t="n">
        <v>0</v>
      </c>
      <c r="P49" s="20" t="n">
        <v>0</v>
      </c>
      <c r="Q49" s="18" t="n">
        <v>38.42620848</v>
      </c>
      <c r="R49" s="20" t="n">
        <v>2.62794339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18.65760627</v>
      </c>
      <c r="F55" s="20" t="n">
        <v>1.981506</v>
      </c>
      <c r="G55" s="18" t="n">
        <v>23.3281793</v>
      </c>
      <c r="H55" s="20" t="n">
        <v>1.87364763</v>
      </c>
      <c r="I55" s="18" t="s">
        <v>349</v>
      </c>
      <c r="J55" s="20" t="s">
        <v>349</v>
      </c>
      <c r="K55" s="18" t="n">
        <v>2.103294</v>
      </c>
      <c r="L55" s="20" t="n">
        <v>0.62753584</v>
      </c>
      <c r="M55" s="18" t="n">
        <v>0</v>
      </c>
      <c r="N55" s="20" t="n">
        <v>0</v>
      </c>
      <c r="O55" s="18" t="n">
        <v>0</v>
      </c>
      <c r="P55" s="20" t="n">
        <v>0</v>
      </c>
      <c r="Q55" s="18" t="n">
        <v>55.91092044</v>
      </c>
      <c r="R55" s="20" t="n">
        <v>2.25861901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(2649.0/B57*100)</f>
        <v/>
      </c>
      <c r="D57" s="19" t="n">
        <v>521</v>
      </c>
      <c r="E57" s="18" t="n">
        <v>39.47860424</v>
      </c>
      <c r="F57" s="20" t="n">
        <v>2.1604679</v>
      </c>
      <c r="G57" s="18" t="n">
        <v>24.80652058</v>
      </c>
      <c r="H57" s="20" t="n">
        <v>2.1006087</v>
      </c>
      <c r="I57" s="18" t="s">
        <v>349</v>
      </c>
      <c r="J57" s="20" t="s">
        <v>349</v>
      </c>
      <c r="K57" s="18" t="n">
        <v>0.76999692</v>
      </c>
      <c r="L57" s="20" t="n">
        <v>0.37959472</v>
      </c>
      <c r="M57" s="18" t="n">
        <v>0</v>
      </c>
      <c r="N57" s="20" t="n">
        <v>0</v>
      </c>
      <c r="O57" s="18" t="n">
        <v>0</v>
      </c>
      <c r="P57" s="20" t="n">
        <v>0</v>
      </c>
      <c r="Q57" s="18" t="n">
        <v>34.94487825</v>
      </c>
      <c r="R57" s="20" t="n">
        <v>2.38941276</v>
      </c>
    </row>
    <row r="58" spans="1:18">
      <c r="A58" s="15" t="s">
        <v>400</v>
      </c>
      <c r="B58" s="17" t="n">
        <v>3530</v>
      </c>
      <c r="C58" s="18">
        <f>(2930.0/B58*100)</f>
        <v/>
      </c>
      <c r="D58" s="19" t="n">
        <v>600</v>
      </c>
      <c r="E58" s="18" t="n">
        <v>38.35063911</v>
      </c>
      <c r="F58" s="20" t="n">
        <v>2.51933471</v>
      </c>
      <c r="G58" s="18" t="n">
        <v>23.35859619</v>
      </c>
      <c r="H58" s="20" t="n">
        <v>2.07171418</v>
      </c>
      <c r="I58" s="18" t="s">
        <v>349</v>
      </c>
      <c r="J58" s="20" t="s">
        <v>349</v>
      </c>
      <c r="K58" s="18" t="n">
        <v>3.35971768</v>
      </c>
      <c r="L58" s="20" t="n">
        <v>0.64217081</v>
      </c>
      <c r="M58" s="18" t="n">
        <v>0</v>
      </c>
      <c r="N58" s="20" t="n">
        <v>0</v>
      </c>
      <c r="O58" s="18" t="n">
        <v>0</v>
      </c>
      <c r="P58" s="20" t="n">
        <v>0</v>
      </c>
      <c r="Q58" s="18" t="n">
        <v>34.93104702</v>
      </c>
      <c r="R58" s="20" t="n">
        <v>2.23992095</v>
      </c>
    </row>
    <row r="59" spans="1:18">
      <c r="A59" s="15" t="s">
        <v>401</v>
      </c>
      <c r="B59" s="17" t="n">
        <v>2548</v>
      </c>
      <c r="C59" s="18">
        <f>(2118.0/B59*100)</f>
        <v/>
      </c>
      <c r="D59" s="19" t="n">
        <v>430</v>
      </c>
      <c r="E59" s="18" t="n">
        <v>27.14578486</v>
      </c>
      <c r="F59" s="20" t="n">
        <v>2.51371487</v>
      </c>
      <c r="G59" s="18" t="n">
        <v>26.19920736</v>
      </c>
      <c r="H59" s="20" t="n">
        <v>2.45637429</v>
      </c>
      <c r="I59" s="18" t="s">
        <v>349</v>
      </c>
      <c r="J59" s="20" t="s">
        <v>349</v>
      </c>
      <c r="K59" s="18" t="n">
        <v>1.63151392</v>
      </c>
      <c r="L59" s="20" t="n">
        <v>0.78873925</v>
      </c>
      <c r="M59" s="18" t="n">
        <v>0</v>
      </c>
      <c r="N59" s="20" t="n">
        <v>0</v>
      </c>
      <c r="O59" s="18" t="n">
        <v>0</v>
      </c>
      <c r="P59" s="20" t="n">
        <v>0</v>
      </c>
      <c r="Q59" s="18" t="n">
        <v>45.02349386</v>
      </c>
      <c r="R59" s="20" t="n">
        <v>2.43649376</v>
      </c>
    </row>
    <row r="60" spans="1:18">
      <c r="A60" s="15" t="s">
        <v>402</v>
      </c>
      <c r="B60" s="17" t="n">
        <v>2095</v>
      </c>
      <c r="C60" s="18">
        <f>(1764.0/B60*100)</f>
        <v/>
      </c>
      <c r="D60" s="19" t="n">
        <v>331</v>
      </c>
      <c r="E60" s="18" t="n">
        <v>25.1587043</v>
      </c>
      <c r="F60" s="20" t="n">
        <v>2.50394864</v>
      </c>
      <c r="G60" s="18" t="n">
        <v>34.75551147</v>
      </c>
      <c r="H60" s="20" t="n">
        <v>2.80576323</v>
      </c>
      <c r="I60" s="18" t="s">
        <v>349</v>
      </c>
      <c r="J60" s="20" t="s">
        <v>349</v>
      </c>
      <c r="K60" s="18" t="n">
        <v>4.82147409</v>
      </c>
      <c r="L60" s="20" t="n">
        <v>1.21872648</v>
      </c>
      <c r="M60" s="18" t="n">
        <v>0</v>
      </c>
      <c r="N60" s="20" t="n">
        <v>0</v>
      </c>
      <c r="O60" s="18" t="n">
        <v>0.40230344</v>
      </c>
      <c r="P60" s="20" t="n">
        <v>0.28882479</v>
      </c>
      <c r="Q60" s="18" t="n">
        <v>34.8620067</v>
      </c>
      <c r="R60" s="20" t="n">
        <v>2.87320527</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15.77929283</v>
      </c>
      <c r="F63" s="20" t="n">
        <v>1.95873265</v>
      </c>
      <c r="G63" s="18" t="n">
        <v>21.83485431</v>
      </c>
      <c r="H63" s="20" t="n">
        <v>1.84855588</v>
      </c>
      <c r="I63" s="18" t="s">
        <v>349</v>
      </c>
      <c r="J63" s="20" t="s">
        <v>349</v>
      </c>
      <c r="K63" s="18" t="n">
        <v>3.18528116</v>
      </c>
      <c r="L63" s="20" t="n">
        <v>0.9260665300000001</v>
      </c>
      <c r="M63" s="18" t="n">
        <v>0</v>
      </c>
      <c r="N63" s="20" t="n">
        <v>0</v>
      </c>
      <c r="O63" s="18" t="n">
        <v>0</v>
      </c>
      <c r="P63" s="20" t="n">
        <v>0</v>
      </c>
      <c r="Q63" s="18" t="n">
        <v>59.20057171</v>
      </c>
      <c r="R63" s="20" t="n">
        <v>2.51679649</v>
      </c>
    </row>
    <row r="64" spans="1:18">
      <c r="A64" s="15" t="s">
        <v>406</v>
      </c>
      <c r="B64" s="17" t="n">
        <v>1844</v>
      </c>
      <c r="C64" s="18">
        <f>(1531.0/B64*100)</f>
        <v/>
      </c>
      <c r="D64" s="19" t="n">
        <v>313</v>
      </c>
      <c r="E64" s="18" t="n">
        <v>20.03522583</v>
      </c>
      <c r="F64" s="20" t="n">
        <v>2.47569015</v>
      </c>
      <c r="G64" s="18" t="n">
        <v>62.70543831</v>
      </c>
      <c r="H64" s="20" t="n">
        <v>2.92209373</v>
      </c>
      <c r="I64" s="18" t="s">
        <v>349</v>
      </c>
      <c r="J64" s="20" t="s">
        <v>349</v>
      </c>
      <c r="K64" s="18" t="n">
        <v>0.64481434</v>
      </c>
      <c r="L64" s="20" t="n">
        <v>0.45197573</v>
      </c>
      <c r="M64" s="18" t="n">
        <v>0</v>
      </c>
      <c r="N64" s="20" t="n">
        <v>0</v>
      </c>
      <c r="O64" s="18" t="n">
        <v>0</v>
      </c>
      <c r="P64" s="20" t="n">
        <v>0</v>
      </c>
      <c r="Q64" s="18" t="n">
        <v>16.61452152</v>
      </c>
      <c r="R64" s="20" t="n">
        <v>2.1666814</v>
      </c>
    </row>
    <row r="65" spans="1:18">
      <c r="A65" s="15" t="s">
        <v>407</v>
      </c>
      <c r="B65" s="17" t="n">
        <v>2691</v>
      </c>
      <c r="C65" s="18">
        <f>(2226.0/B65*100)</f>
        <v/>
      </c>
      <c r="D65" s="19" t="n">
        <v>465</v>
      </c>
      <c r="E65" s="18" t="n">
        <v>20.85900957</v>
      </c>
      <c r="F65" s="20" t="n">
        <v>2.18236283</v>
      </c>
      <c r="G65" s="18" t="n">
        <v>35.38311917</v>
      </c>
      <c r="H65" s="20" t="n">
        <v>2.39246905</v>
      </c>
      <c r="I65" s="18" t="s">
        <v>349</v>
      </c>
      <c r="J65" s="20" t="s">
        <v>349</v>
      </c>
      <c r="K65" s="18" t="n">
        <v>7.11076862</v>
      </c>
      <c r="L65" s="20" t="n">
        <v>1.29072025</v>
      </c>
      <c r="M65" s="18" t="n">
        <v>0</v>
      </c>
      <c r="N65" s="20" t="n">
        <v>0</v>
      </c>
      <c r="O65" s="18" t="n">
        <v>0</v>
      </c>
      <c r="P65" s="20" t="n">
        <v>0</v>
      </c>
      <c r="Q65" s="18" t="n">
        <v>36.64710264</v>
      </c>
      <c r="R65" s="20" t="n">
        <v>2.47933817</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30.21059057</v>
      </c>
      <c r="F69" s="20" t="n">
        <v>2.51135447</v>
      </c>
      <c r="G69" s="18" t="n">
        <v>69.31973569</v>
      </c>
      <c r="H69" s="20" t="n">
        <v>2.55810972</v>
      </c>
      <c r="I69" s="18" t="s">
        <v>349</v>
      </c>
      <c r="J69" s="20" t="s">
        <v>349</v>
      </c>
      <c r="K69" s="18" t="n">
        <v>0</v>
      </c>
      <c r="L69" s="20" t="n">
        <v>0</v>
      </c>
      <c r="M69" s="18" t="n">
        <v>0</v>
      </c>
      <c r="N69" s="20" t="n">
        <v>0</v>
      </c>
      <c r="O69" s="18" t="n">
        <v>0</v>
      </c>
      <c r="P69" s="20" t="n">
        <v>0</v>
      </c>
      <c r="Q69" s="18" t="n">
        <v>0.46967375</v>
      </c>
      <c r="R69" s="20" t="n">
        <v>0.3268333</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22.11547772</v>
      </c>
      <c r="F74" s="20" t="n">
        <v>1.99557156</v>
      </c>
      <c r="G74" s="18" t="n">
        <v>40.29083202</v>
      </c>
      <c r="H74" s="20" t="n">
        <v>2.74593844</v>
      </c>
      <c r="I74" s="18" t="s">
        <v>349</v>
      </c>
      <c r="J74" s="20" t="s">
        <v>349</v>
      </c>
      <c r="K74" s="18" t="n">
        <v>10.52108426</v>
      </c>
      <c r="L74" s="20" t="n">
        <v>1.88268974</v>
      </c>
      <c r="M74" s="18" t="n">
        <v>0</v>
      </c>
      <c r="N74" s="20" t="n">
        <v>0</v>
      </c>
      <c r="O74" s="18" t="n">
        <v>0</v>
      </c>
      <c r="P74" s="20" t="n">
        <v>0</v>
      </c>
      <c r="Q74" s="18" t="n">
        <v>27.07260599</v>
      </c>
      <c r="R74" s="20" t="n">
        <v>2.52133607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34.84714147</v>
      </c>
      <c r="F78" s="20" t="n">
        <v>2.45502949</v>
      </c>
      <c r="G78" s="18" t="n">
        <v>45.59888638</v>
      </c>
      <c r="H78" s="20" t="n">
        <v>2.91915452</v>
      </c>
      <c r="I78" s="18" t="s">
        <v>349</v>
      </c>
      <c r="J78" s="20" t="s">
        <v>349</v>
      </c>
      <c r="K78" s="18" t="n">
        <v>0</v>
      </c>
      <c r="L78" s="20" t="n">
        <v>0</v>
      </c>
      <c r="M78" s="18" t="n">
        <v>0</v>
      </c>
      <c r="N78" s="20" t="n">
        <v>0</v>
      </c>
      <c r="O78" s="18" t="n">
        <v>0</v>
      </c>
      <c r="P78" s="20" t="n">
        <v>0</v>
      </c>
      <c r="Q78" s="18" t="n">
        <v>19.55397216</v>
      </c>
      <c r="R78" s="20" t="n">
        <v>1.92882775</v>
      </c>
    </row>
    <row customHeight="1" ht="25" r="79" spans="1:18">
      <c r="A79" s="15" t="s">
        <v>421</v>
      </c>
      <c r="B79" s="17" t="n">
        <v>787</v>
      </c>
      <c r="C79" s="18">
        <f>(655.0/B79*100)</f>
        <v/>
      </c>
      <c r="D79" s="19" t="n">
        <v>132</v>
      </c>
      <c r="E79" s="18" t="n">
        <v>16.63531503</v>
      </c>
      <c r="F79" s="20" t="n">
        <v>2.94502359</v>
      </c>
      <c r="G79" s="18" t="n">
        <v>50.42975741</v>
      </c>
      <c r="H79" s="20" t="n">
        <v>5.68765111</v>
      </c>
      <c r="I79" s="18" t="s">
        <v>349</v>
      </c>
      <c r="J79" s="20" t="s">
        <v>349</v>
      </c>
      <c r="K79" s="18" t="n">
        <v>4.2288354</v>
      </c>
      <c r="L79" s="20" t="n">
        <v>1.81062448</v>
      </c>
      <c r="M79" s="18" t="n">
        <v>0</v>
      </c>
      <c r="N79" s="20" t="n">
        <v>0</v>
      </c>
      <c r="O79" s="18" t="n">
        <v>0</v>
      </c>
      <c r="P79" s="20" t="n">
        <v>0</v>
      </c>
      <c r="Q79" s="18" t="n">
        <v>28.70609216</v>
      </c>
      <c r="R79" s="20" t="n">
        <v>4.86002264</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331</v>
      </c>
    </row>
    <row r="2" spans="1:30">
      <c r="A2" s="5" t="s">
        <v>538</v>
      </c>
    </row>
    <row customHeight="1" ht="30" r="4" spans="1:30">
      <c r="A4" s="6" t="n"/>
      <c r="B4" s="7" t="s">
        <v>333</v>
      </c>
      <c r="C4" s="7" t="s">
        <v>334</v>
      </c>
      <c r="D4" s="8" t="s">
        <v>333</v>
      </c>
      <c r="E4" s="9" t="s">
        <v>440</v>
      </c>
      <c r="F4" s="10" t="n"/>
      <c r="G4" s="9" t="s">
        <v>536</v>
      </c>
      <c r="H4" s="10" t="n"/>
      <c r="I4" s="9" t="s">
        <v>441</v>
      </c>
      <c r="J4" s="10" t="n"/>
      <c r="K4" s="9" t="s">
        <v>442</v>
      </c>
      <c r="L4" s="10" t="n"/>
      <c r="M4" s="9" t="s">
        <v>443</v>
      </c>
      <c r="N4" s="10" t="n"/>
      <c r="O4" s="9" t="s">
        <v>444</v>
      </c>
      <c r="P4" s="10" t="n"/>
      <c r="Q4" s="9" t="s">
        <v>447</v>
      </c>
      <c r="R4" s="10" t="n"/>
      <c r="S4" s="9" t="s">
        <v>448</v>
      </c>
      <c r="T4" s="10" t="n"/>
      <c r="U4" s="9" t="s">
        <v>337</v>
      </c>
      <c r="V4" s="10" t="n"/>
      <c r="W4" s="9" t="s">
        <v>338</v>
      </c>
      <c r="X4" s="10" t="n"/>
      <c r="Y4" s="9" t="s">
        <v>339</v>
      </c>
      <c r="Z4" s="10" t="n"/>
      <c r="AA4" s="9" t="s">
        <v>340</v>
      </c>
      <c r="AB4" s="10" t="n"/>
      <c r="AC4" s="9" t="s">
        <v>341</v>
      </c>
      <c r="AD4" s="10" t="n"/>
    </row>
    <row r="5" spans="1:3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c r="AA5" s="12" t="s">
        <v>345</v>
      </c>
      <c r="AB5" s="11" t="s">
        <v>346</v>
      </c>
      <c r="AC5" s="12" t="s">
        <v>345</v>
      </c>
      <c r="AD5" s="11" t="s">
        <v>346</v>
      </c>
    </row>
    <row r="6" spans="1:30">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c r="AA7" s="18" t="s">
        <v>349</v>
      </c>
      <c r="AB7" s="20" t="s">
        <v>349</v>
      </c>
      <c r="AC7" s="18" t="s">
        <v>349</v>
      </c>
      <c r="AD7" s="20" t="s">
        <v>349</v>
      </c>
    </row>
    <row r="8" spans="1:30">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c r="AA8" s="18" t="s">
        <v>349</v>
      </c>
      <c r="AB8" s="20" t="s">
        <v>349</v>
      </c>
      <c r="AC8" s="18" t="s">
        <v>349</v>
      </c>
      <c r="AD8" s="20" t="s">
        <v>349</v>
      </c>
    </row>
    <row r="9" spans="1:30">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c r="AA9" s="18" t="s">
        <v>349</v>
      </c>
      <c r="AB9" s="20" t="s">
        <v>349</v>
      </c>
      <c r="AC9" s="18" t="s">
        <v>349</v>
      </c>
      <c r="AD9" s="20" t="s">
        <v>349</v>
      </c>
    </row>
    <row r="10" spans="1:30">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c r="AA10" s="18" t="s">
        <v>349</v>
      </c>
      <c r="AB10" s="20" t="s">
        <v>349</v>
      </c>
      <c r="AC10" s="18" t="s">
        <v>349</v>
      </c>
      <c r="AD10" s="20" t="s">
        <v>349</v>
      </c>
    </row>
    <row r="11" spans="1:30">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c r="AA11" s="18" t="s">
        <v>349</v>
      </c>
      <c r="AB11" s="20" t="s">
        <v>349</v>
      </c>
      <c r="AC11" s="18" t="s">
        <v>349</v>
      </c>
      <c r="AD11" s="20" t="s">
        <v>349</v>
      </c>
    </row>
    <row r="12" spans="1:30">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c r="AA12" s="18" t="s">
        <v>349</v>
      </c>
      <c r="AB12" s="20" t="s">
        <v>349</v>
      </c>
      <c r="AC12" s="18" t="s">
        <v>349</v>
      </c>
      <c r="AD12" s="20" t="s">
        <v>349</v>
      </c>
    </row>
    <row r="13" spans="1:30">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c r="AA13" s="18" t="s">
        <v>349</v>
      </c>
      <c r="AB13" s="20" t="s">
        <v>349</v>
      </c>
      <c r="AC13" s="18" t="s">
        <v>349</v>
      </c>
      <c r="AD13" s="20" t="s">
        <v>349</v>
      </c>
    </row>
    <row r="14" spans="1:30">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c r="AA14" s="18" t="s">
        <v>349</v>
      </c>
      <c r="AB14" s="20" t="s">
        <v>349</v>
      </c>
      <c r="AC14" s="18" t="s">
        <v>349</v>
      </c>
      <c r="AD14" s="20" t="s">
        <v>349</v>
      </c>
    </row>
    <row r="15" spans="1:30">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c r="AA15" s="18" t="s">
        <v>349</v>
      </c>
      <c r="AB15" s="20" t="s">
        <v>349</v>
      </c>
      <c r="AC15" s="18" t="s">
        <v>349</v>
      </c>
      <c r="AD15" s="20" t="s">
        <v>349</v>
      </c>
    </row>
    <row r="16" spans="1:30">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c r="AA16" s="18" t="s">
        <v>349</v>
      </c>
      <c r="AB16" s="20" t="s">
        <v>349</v>
      </c>
      <c r="AC16" s="18" t="s">
        <v>349</v>
      </c>
      <c r="AD16" s="20" t="s">
        <v>349</v>
      </c>
    </row>
    <row r="17" spans="1:30">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c r="AA17" s="18" t="s">
        <v>349</v>
      </c>
      <c r="AB17" s="20" t="s">
        <v>349</v>
      </c>
      <c r="AC17" s="18" t="s">
        <v>349</v>
      </c>
      <c r="AD17" s="20" t="s">
        <v>349</v>
      </c>
    </row>
    <row r="18" spans="1:30">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c r="AA18" s="18" t="s">
        <v>349</v>
      </c>
      <c r="AB18" s="20" t="s">
        <v>349</v>
      </c>
      <c r="AC18" s="18" t="s">
        <v>349</v>
      </c>
      <c r="AD18" s="20" t="s">
        <v>349</v>
      </c>
    </row>
    <row r="19" spans="1:30">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c r="AA19" s="18" t="s">
        <v>349</v>
      </c>
      <c r="AB19" s="20" t="s">
        <v>349</v>
      </c>
      <c r="AC19" s="18" t="s">
        <v>349</v>
      </c>
      <c r="AD19" s="20" t="s">
        <v>349</v>
      </c>
    </row>
    <row r="20" spans="1:30">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c r="AA20" s="18" t="s">
        <v>349</v>
      </c>
      <c r="AB20" s="20" t="s">
        <v>349</v>
      </c>
      <c r="AC20" s="18" t="s">
        <v>349</v>
      </c>
      <c r="AD20" s="20" t="s">
        <v>349</v>
      </c>
    </row>
    <row r="21" spans="1:30">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c r="AA21" s="18" t="s">
        <v>349</v>
      </c>
      <c r="AB21" s="20" t="s">
        <v>349</v>
      </c>
      <c r="AC21" s="18" t="s">
        <v>349</v>
      </c>
      <c r="AD21" s="20" t="s">
        <v>349</v>
      </c>
    </row>
    <row r="22" spans="1:30">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c r="AA22" s="18" t="s">
        <v>349</v>
      </c>
      <c r="AB22" s="20" t="s">
        <v>349</v>
      </c>
      <c r="AC22" s="18" t="s">
        <v>349</v>
      </c>
      <c r="AD22" s="20" t="s">
        <v>349</v>
      </c>
    </row>
    <row r="23" spans="1:30">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c r="AA23" s="18" t="s">
        <v>349</v>
      </c>
      <c r="AB23" s="20" t="s">
        <v>349</v>
      </c>
      <c r="AC23" s="18" t="s">
        <v>349</v>
      </c>
      <c r="AD23" s="20" t="s">
        <v>349</v>
      </c>
    </row>
    <row r="24" spans="1:30">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c r="AA24" s="18" t="s">
        <v>349</v>
      </c>
      <c r="AB24" s="20" t="s">
        <v>349</v>
      </c>
      <c r="AC24" s="18" t="s">
        <v>349</v>
      </c>
      <c r="AD24" s="20" t="s">
        <v>349</v>
      </c>
    </row>
    <row r="25" spans="1:30">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c r="AA25" s="18" t="s">
        <v>349</v>
      </c>
      <c r="AB25" s="20" t="s">
        <v>349</v>
      </c>
      <c r="AC25" s="18" t="s">
        <v>349</v>
      </c>
      <c r="AD25" s="20" t="s">
        <v>349</v>
      </c>
    </row>
    <row r="26" spans="1:30">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c r="AA26" s="18" t="s">
        <v>349</v>
      </c>
      <c r="AB26" s="20" t="s">
        <v>349</v>
      </c>
      <c r="AC26" s="18" t="s">
        <v>349</v>
      </c>
      <c r="AD26" s="20" t="s">
        <v>349</v>
      </c>
    </row>
    <row r="27" spans="1:30">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c r="AA27" s="18" t="s">
        <v>349</v>
      </c>
      <c r="AB27" s="20" t="s">
        <v>349</v>
      </c>
      <c r="AC27" s="18" t="s">
        <v>349</v>
      </c>
      <c r="AD27" s="20" t="s">
        <v>349</v>
      </c>
    </row>
    <row r="28" spans="1:30">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c r="AA28" s="18" t="s">
        <v>349</v>
      </c>
      <c r="AB28" s="20" t="s">
        <v>349</v>
      </c>
      <c r="AC28" s="18" t="s">
        <v>349</v>
      </c>
      <c r="AD28" s="20" t="s">
        <v>349</v>
      </c>
    </row>
    <row r="29" spans="1:30">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c r="AA29" s="18" t="s">
        <v>349</v>
      </c>
      <c r="AB29" s="20" t="s">
        <v>349</v>
      </c>
      <c r="AC29" s="18" t="s">
        <v>349</v>
      </c>
      <c r="AD29" s="20" t="s">
        <v>349</v>
      </c>
    </row>
    <row r="30" spans="1:30">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c r="AA30" s="18" t="s">
        <v>349</v>
      </c>
      <c r="AB30" s="20" t="s">
        <v>349</v>
      </c>
      <c r="AC30" s="18" t="s">
        <v>349</v>
      </c>
      <c r="AD30" s="20" t="s">
        <v>349</v>
      </c>
    </row>
    <row r="31" spans="1:30">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c r="AA31" s="18" t="s">
        <v>349</v>
      </c>
      <c r="AB31" s="20" t="s">
        <v>349</v>
      </c>
      <c r="AC31" s="18" t="s">
        <v>349</v>
      </c>
      <c r="AD31" s="20" t="s">
        <v>349</v>
      </c>
    </row>
    <row r="32" spans="1:30">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c r="AA32" s="18" t="s">
        <v>349</v>
      </c>
      <c r="AB32" s="20" t="s">
        <v>349</v>
      </c>
      <c r="AC32" s="18" t="s">
        <v>349</v>
      </c>
      <c r="AD32" s="20" t="s">
        <v>349</v>
      </c>
    </row>
    <row r="33" spans="1:30">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c r="AA33" s="18" t="s">
        <v>349</v>
      </c>
      <c r="AB33" s="20" t="s">
        <v>349</v>
      </c>
      <c r="AC33" s="18" t="s">
        <v>349</v>
      </c>
      <c r="AD33" s="20" t="s">
        <v>349</v>
      </c>
    </row>
    <row r="34" spans="1:30">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c r="AA34" s="18" t="s">
        <v>349</v>
      </c>
      <c r="AB34" s="20" t="s">
        <v>349</v>
      </c>
      <c r="AC34" s="18" t="s">
        <v>349</v>
      </c>
      <c r="AD34" s="20" t="s">
        <v>349</v>
      </c>
    </row>
    <row r="35" spans="1:30">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c r="AA35" s="18" t="s">
        <v>349</v>
      </c>
      <c r="AB35" s="20" t="s">
        <v>349</v>
      </c>
      <c r="AC35" s="18" t="s">
        <v>349</v>
      </c>
      <c r="AD35" s="20" t="s">
        <v>349</v>
      </c>
    </row>
    <row r="36" spans="1:30">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c r="AA36" s="18" t="s">
        <v>349</v>
      </c>
      <c r="AB36" s="20" t="s">
        <v>349</v>
      </c>
      <c r="AC36" s="18" t="s">
        <v>349</v>
      </c>
      <c r="AD36" s="20" t="s">
        <v>349</v>
      </c>
    </row>
    <row r="37" spans="1:30">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c r="AA37" s="18" t="s">
        <v>349</v>
      </c>
      <c r="AB37" s="20" t="s">
        <v>349</v>
      </c>
      <c r="AC37" s="18" t="s">
        <v>349</v>
      </c>
      <c r="AD37" s="20" t="s">
        <v>349</v>
      </c>
    </row>
    <row r="38" spans="1:30">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c r="AA38" s="18" t="s">
        <v>349</v>
      </c>
      <c r="AB38" s="20" t="s">
        <v>349</v>
      </c>
      <c r="AC38" s="18" t="s">
        <v>349</v>
      </c>
      <c r="AD38" s="20" t="s">
        <v>349</v>
      </c>
    </row>
    <row r="39" spans="1:30">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c r="AA39" s="18" t="s">
        <v>349</v>
      </c>
      <c r="AB39" s="20" t="s">
        <v>349</v>
      </c>
      <c r="AC39" s="18" t="s">
        <v>349</v>
      </c>
      <c r="AD39" s="20" t="s">
        <v>349</v>
      </c>
    </row>
    <row r="40" spans="1:30">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c r="AA40" s="18" t="s">
        <v>349</v>
      </c>
      <c r="AB40" s="20" t="s">
        <v>349</v>
      </c>
      <c r="AC40" s="18" t="s">
        <v>349</v>
      </c>
      <c r="AD40" s="20" t="s">
        <v>349</v>
      </c>
    </row>
    <row r="41" spans="1:30">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c r="AA41" s="18" t="s">
        <v>349</v>
      </c>
      <c r="AB41" s="20" t="s">
        <v>349</v>
      </c>
      <c r="AC41" s="18" t="s">
        <v>349</v>
      </c>
      <c r="AD41" s="20" t="s">
        <v>349</v>
      </c>
    </row>
    <row r="42" spans="1:3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386</v>
      </c>
      <c r="B44" s="17" t="n">
        <v>2524</v>
      </c>
      <c r="C44" s="18">
        <f>(2090.0/B44*100)</f>
        <v/>
      </c>
      <c r="D44" s="19" t="n">
        <v>434</v>
      </c>
      <c r="E44" s="18" t="n">
        <v>24.12151179</v>
      </c>
      <c r="F44" s="20" t="n">
        <v>3.21214025</v>
      </c>
      <c r="G44" s="18" t="n">
        <v>0</v>
      </c>
      <c r="H44" s="20" t="n">
        <v>0</v>
      </c>
      <c r="I44" s="18" t="n">
        <v>1.32389941</v>
      </c>
      <c r="J44" s="20" t="n">
        <v>0.44795371</v>
      </c>
      <c r="K44" s="18" t="n">
        <v>0.30598645</v>
      </c>
      <c r="L44" s="20" t="n">
        <v>0.21686162</v>
      </c>
      <c r="M44" s="18" t="n">
        <v>1.22138466</v>
      </c>
      <c r="N44" s="20" t="n">
        <v>0.57105366</v>
      </c>
      <c r="O44" s="18" t="n">
        <v>0.62397968</v>
      </c>
      <c r="P44" s="20" t="n">
        <v>0.54216368</v>
      </c>
      <c r="Q44" s="18" t="n">
        <v>1.14145917</v>
      </c>
      <c r="R44" s="20" t="n">
        <v>0.49081665</v>
      </c>
      <c r="S44" s="18" t="n">
        <v>0.07871435</v>
      </c>
      <c r="T44" s="20" t="n">
        <v>0.07864105</v>
      </c>
      <c r="U44" s="18" t="s">
        <v>349</v>
      </c>
      <c r="V44" s="20" t="s">
        <v>349</v>
      </c>
      <c r="W44" s="18" t="n">
        <v>10.51823655</v>
      </c>
      <c r="X44" s="20" t="n">
        <v>1.99722305</v>
      </c>
      <c r="Y44" s="18" t="n">
        <v>0</v>
      </c>
      <c r="Z44" s="20" t="n">
        <v>0</v>
      </c>
      <c r="AA44" s="18" t="n">
        <v>0</v>
      </c>
      <c r="AB44" s="20" t="n">
        <v>0</v>
      </c>
      <c r="AC44" s="18" t="n">
        <v>60.66482795</v>
      </c>
      <c r="AD44" s="20" t="n">
        <v>3.43911103</v>
      </c>
    </row>
    <row r="45" spans="1:30">
      <c r="A45" s="15" t="s">
        <v>387</v>
      </c>
      <c r="B45" s="17" t="n">
        <v>2849</v>
      </c>
      <c r="C45" s="18">
        <f>(2395.0/B45*100)</f>
        <v/>
      </c>
      <c r="D45" s="19" t="n">
        <v>454</v>
      </c>
      <c r="E45" s="18" t="n">
        <v>27.34458777</v>
      </c>
      <c r="F45" s="20" t="n">
        <v>2.40291358</v>
      </c>
      <c r="G45" s="18" t="n">
        <v>0</v>
      </c>
      <c r="H45" s="20" t="n">
        <v>0</v>
      </c>
      <c r="I45" s="18" t="n">
        <v>1.13709179</v>
      </c>
      <c r="J45" s="20" t="n">
        <v>0.47187048</v>
      </c>
      <c r="K45" s="18" t="n">
        <v>0.41691116</v>
      </c>
      <c r="L45" s="20" t="n">
        <v>0.2912761</v>
      </c>
      <c r="M45" s="18" t="n">
        <v>0</v>
      </c>
      <c r="N45" s="20" t="n">
        <v>0</v>
      </c>
      <c r="O45" s="18" t="n">
        <v>0.26117902</v>
      </c>
      <c r="P45" s="20" t="n">
        <v>0.18600861</v>
      </c>
      <c r="Q45" s="18" t="n">
        <v>0.8161029</v>
      </c>
      <c r="R45" s="20" t="n">
        <v>0.29313254</v>
      </c>
      <c r="S45" s="18" t="n">
        <v>0</v>
      </c>
      <c r="T45" s="20" t="n">
        <v>0</v>
      </c>
      <c r="U45" s="18" t="s">
        <v>349</v>
      </c>
      <c r="V45" s="20" t="s">
        <v>349</v>
      </c>
      <c r="W45" s="18" t="n">
        <v>7.95369115</v>
      </c>
      <c r="X45" s="20" t="n">
        <v>1.38305302</v>
      </c>
      <c r="Y45" s="18" t="n">
        <v>0.36726735</v>
      </c>
      <c r="Z45" s="20" t="n">
        <v>0.36786675</v>
      </c>
      <c r="AA45" s="18" t="n">
        <v>0.27949662</v>
      </c>
      <c r="AB45" s="20" t="n">
        <v>0.29407721</v>
      </c>
      <c r="AC45" s="18" t="n">
        <v>61.42367224</v>
      </c>
      <c r="AD45" s="20" t="n">
        <v>2.60478343</v>
      </c>
    </row>
    <row r="46" spans="1:30">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c r="AA46" s="18" t="s">
        <v>349</v>
      </c>
      <c r="AB46" s="20" t="s">
        <v>349</v>
      </c>
      <c r="AC46" s="18" t="s">
        <v>349</v>
      </c>
      <c r="AD46" s="20" t="s">
        <v>349</v>
      </c>
    </row>
    <row r="47" spans="1:30">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c r="AA47" s="18" t="s">
        <v>349</v>
      </c>
      <c r="AB47" s="20" t="s">
        <v>349</v>
      </c>
      <c r="AC47" s="18" t="s">
        <v>349</v>
      </c>
      <c r="AD47" s="20" t="s">
        <v>349</v>
      </c>
    </row>
    <row r="48" spans="1:30">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c r="AA48" s="18" t="s">
        <v>349</v>
      </c>
      <c r="AB48" s="20" t="s">
        <v>349</v>
      </c>
      <c r="AC48" s="18" t="s">
        <v>349</v>
      </c>
      <c r="AD48" s="20" t="s">
        <v>349</v>
      </c>
    </row>
    <row r="49" spans="1:30">
      <c r="A49" s="15" t="s">
        <v>391</v>
      </c>
      <c r="B49" s="17" t="n">
        <v>3018</v>
      </c>
      <c r="C49" s="18">
        <f>(2503.0/B49*100)</f>
        <v/>
      </c>
      <c r="D49" s="19" t="n">
        <v>515</v>
      </c>
      <c r="E49" s="18" t="n">
        <v>32.51059235</v>
      </c>
      <c r="F49" s="20" t="n">
        <v>2.84059613</v>
      </c>
      <c r="G49" s="18" t="n">
        <v>0</v>
      </c>
      <c r="H49" s="20" t="n">
        <v>0</v>
      </c>
      <c r="I49" s="18" t="n">
        <v>0.7335365</v>
      </c>
      <c r="J49" s="20" t="n">
        <v>0.4055603</v>
      </c>
      <c r="K49" s="18" t="n">
        <v>3.37530814</v>
      </c>
      <c r="L49" s="20" t="n">
        <v>0.76696705</v>
      </c>
      <c r="M49" s="18" t="n">
        <v>0.65395256</v>
      </c>
      <c r="N49" s="20" t="n">
        <v>0.59086338</v>
      </c>
      <c r="O49" s="18" t="n">
        <v>0.39950584</v>
      </c>
      <c r="P49" s="20" t="n">
        <v>0.22851245</v>
      </c>
      <c r="Q49" s="18" t="n">
        <v>1.30195421</v>
      </c>
      <c r="R49" s="20" t="n">
        <v>0.5032742</v>
      </c>
      <c r="S49" s="18" t="n">
        <v>0.71486247</v>
      </c>
      <c r="T49" s="20" t="n">
        <v>0.39792767</v>
      </c>
      <c r="U49" s="18" t="s">
        <v>349</v>
      </c>
      <c r="V49" s="20" t="s">
        <v>349</v>
      </c>
      <c r="W49" s="18" t="n">
        <v>3.18035875</v>
      </c>
      <c r="X49" s="20" t="n">
        <v>0.87157875</v>
      </c>
      <c r="Y49" s="18" t="n">
        <v>0</v>
      </c>
      <c r="Z49" s="20" t="n">
        <v>0</v>
      </c>
      <c r="AA49" s="18" t="n">
        <v>0</v>
      </c>
      <c r="AB49" s="20" t="n">
        <v>0</v>
      </c>
      <c r="AC49" s="18" t="n">
        <v>57.12992917</v>
      </c>
      <c r="AD49" s="20" t="n">
        <v>2.92867948</v>
      </c>
    </row>
    <row r="50" spans="1:30">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c r="AA50" s="18" t="s">
        <v>349</v>
      </c>
      <c r="AB50" s="20" t="s">
        <v>349</v>
      </c>
      <c r="AC50" s="18" t="s">
        <v>349</v>
      </c>
      <c r="AD50" s="20" t="s">
        <v>349</v>
      </c>
    </row>
    <row r="51" spans="1:30">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c r="AA51" s="18" t="s">
        <v>349</v>
      </c>
      <c r="AB51" s="20" t="s">
        <v>349</v>
      </c>
      <c r="AC51" s="18" t="s">
        <v>349</v>
      </c>
      <c r="AD51" s="20" t="s">
        <v>349</v>
      </c>
    </row>
    <row r="52" spans="1:30">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c r="AA52" s="18" t="s">
        <v>349</v>
      </c>
      <c r="AB52" s="20" t="s">
        <v>349</v>
      </c>
      <c r="AC52" s="18" t="s">
        <v>349</v>
      </c>
      <c r="AD52" s="20" t="s">
        <v>349</v>
      </c>
    </row>
    <row r="53" spans="1:30">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c r="AA53" s="18" t="s">
        <v>349</v>
      </c>
      <c r="AB53" s="20" t="s">
        <v>349</v>
      </c>
      <c r="AC53" s="18" t="s">
        <v>349</v>
      </c>
      <c r="AD53" s="20" t="s">
        <v>349</v>
      </c>
    </row>
    <row r="54" spans="1:30">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c r="AA54" s="18" t="s">
        <v>349</v>
      </c>
      <c r="AB54" s="20" t="s">
        <v>349</v>
      </c>
      <c r="AC54" s="18" t="s">
        <v>349</v>
      </c>
      <c r="AD54" s="20" t="s">
        <v>349</v>
      </c>
    </row>
    <row r="55" spans="1:30">
      <c r="A55" s="15" t="s">
        <v>397</v>
      </c>
      <c r="B55" s="17" t="n">
        <v>2759</v>
      </c>
      <c r="C55" s="18">
        <f>(2297.0/B55*100)</f>
        <v/>
      </c>
      <c r="D55" s="19" t="n">
        <v>462</v>
      </c>
      <c r="E55" s="18" t="n">
        <v>16.19802667</v>
      </c>
      <c r="F55" s="20" t="n">
        <v>1.8114547</v>
      </c>
      <c r="G55" s="18" t="n">
        <v>0</v>
      </c>
      <c r="H55" s="20" t="n">
        <v>0</v>
      </c>
      <c r="I55" s="18" t="n">
        <v>1.09583533</v>
      </c>
      <c r="J55" s="20" t="n">
        <v>0.48750616</v>
      </c>
      <c r="K55" s="18" t="n">
        <v>1.87653558</v>
      </c>
      <c r="L55" s="20" t="n">
        <v>0.64155511</v>
      </c>
      <c r="M55" s="18" t="n">
        <v>2.84659228</v>
      </c>
      <c r="N55" s="20" t="n">
        <v>0.84727531</v>
      </c>
      <c r="O55" s="18" t="n">
        <v>0.8082866399999999</v>
      </c>
      <c r="P55" s="20" t="n">
        <v>0.39974705</v>
      </c>
      <c r="Q55" s="18" t="n">
        <v>2.60013481</v>
      </c>
      <c r="R55" s="20" t="n">
        <v>0.7708121100000001</v>
      </c>
      <c r="S55" s="18" t="n">
        <v>0.80161028</v>
      </c>
      <c r="T55" s="20" t="n">
        <v>0.38819445</v>
      </c>
      <c r="U55" s="18" t="s">
        <v>349</v>
      </c>
      <c r="V55" s="20" t="s">
        <v>349</v>
      </c>
      <c r="W55" s="18" t="n">
        <v>2.103294</v>
      </c>
      <c r="X55" s="20" t="n">
        <v>0.62753584</v>
      </c>
      <c r="Y55" s="18" t="n">
        <v>0</v>
      </c>
      <c r="Z55" s="20" t="n">
        <v>0</v>
      </c>
      <c r="AA55" s="18" t="n">
        <v>0</v>
      </c>
      <c r="AB55" s="20" t="n">
        <v>0</v>
      </c>
      <c r="AC55" s="18" t="n">
        <v>71.66968441</v>
      </c>
      <c r="AD55" s="20" t="n">
        <v>2.25103315</v>
      </c>
    </row>
    <row r="56" spans="1:30">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c r="AA56" s="18" t="s">
        <v>349</v>
      </c>
      <c r="AB56" s="20" t="s">
        <v>349</v>
      </c>
      <c r="AC56" s="18" t="s">
        <v>349</v>
      </c>
      <c r="AD56" s="20" t="s">
        <v>349</v>
      </c>
    </row>
    <row r="57" spans="1:30">
      <c r="A57" s="15" t="s">
        <v>399</v>
      </c>
      <c r="B57" s="17" t="n">
        <v>3170</v>
      </c>
      <c r="C57" s="18">
        <f>(2649.0/B57*100)</f>
        <v/>
      </c>
      <c r="D57" s="19" t="n">
        <v>521</v>
      </c>
      <c r="E57" s="18" t="n">
        <v>69.62159508000001</v>
      </c>
      <c r="F57" s="20" t="n">
        <v>3.11198313</v>
      </c>
      <c r="G57" s="18" t="n">
        <v>0</v>
      </c>
      <c r="H57" s="20" t="n">
        <v>0</v>
      </c>
      <c r="I57" s="18" t="n">
        <v>0.42190685</v>
      </c>
      <c r="J57" s="20" t="n">
        <v>0.30067257</v>
      </c>
      <c r="K57" s="18" t="n">
        <v>0.20008589</v>
      </c>
      <c r="L57" s="20" t="n">
        <v>0.19998687</v>
      </c>
      <c r="M57" s="18" t="n">
        <v>0.20400616</v>
      </c>
      <c r="N57" s="20" t="n">
        <v>0.20320732</v>
      </c>
      <c r="O57" s="18" t="n">
        <v>0.45911597</v>
      </c>
      <c r="P57" s="20" t="n">
        <v>0.33720756</v>
      </c>
      <c r="Q57" s="18" t="n">
        <v>0.17800925</v>
      </c>
      <c r="R57" s="20" t="n">
        <v>0.15815823</v>
      </c>
      <c r="S57" s="18" t="n">
        <v>0.20011084</v>
      </c>
      <c r="T57" s="20" t="n">
        <v>0.20060252</v>
      </c>
      <c r="U57" s="18" t="s">
        <v>349</v>
      </c>
      <c r="V57" s="20" t="s">
        <v>349</v>
      </c>
      <c r="W57" s="18" t="n">
        <v>0.76999692</v>
      </c>
      <c r="X57" s="20" t="n">
        <v>0.37959472</v>
      </c>
      <c r="Y57" s="18" t="n">
        <v>0</v>
      </c>
      <c r="Z57" s="20" t="n">
        <v>0</v>
      </c>
      <c r="AA57" s="18" t="n">
        <v>0</v>
      </c>
      <c r="AB57" s="20" t="n">
        <v>0</v>
      </c>
      <c r="AC57" s="18" t="n">
        <v>27.94517303</v>
      </c>
      <c r="AD57" s="20" t="n">
        <v>3.0904644</v>
      </c>
    </row>
    <row r="58" spans="1:30">
      <c r="A58" s="15" t="s">
        <v>400</v>
      </c>
      <c r="B58" s="17" t="n">
        <v>3530</v>
      </c>
      <c r="C58" s="18">
        <f>(2930.0/B58*100)</f>
        <v/>
      </c>
      <c r="D58" s="19" t="n">
        <v>600</v>
      </c>
      <c r="E58" s="18" t="n">
        <v>47.0955195</v>
      </c>
      <c r="F58" s="20" t="n">
        <v>2.6467715</v>
      </c>
      <c r="G58" s="18" t="n">
        <v>0</v>
      </c>
      <c r="H58" s="20" t="n">
        <v>0</v>
      </c>
      <c r="I58" s="18" t="n">
        <v>0.02415923</v>
      </c>
      <c r="J58" s="20" t="n">
        <v>0.02416048</v>
      </c>
      <c r="K58" s="18" t="n">
        <v>0</v>
      </c>
      <c r="L58" s="20" t="n">
        <v>0</v>
      </c>
      <c r="M58" s="18" t="n">
        <v>0.15381512</v>
      </c>
      <c r="N58" s="20" t="n">
        <v>0.15380726</v>
      </c>
      <c r="O58" s="18" t="n">
        <v>0.27525432</v>
      </c>
      <c r="P58" s="20" t="n">
        <v>0.27262977</v>
      </c>
      <c r="Q58" s="18" t="n">
        <v>0.60766096</v>
      </c>
      <c r="R58" s="20" t="n">
        <v>0.49845051</v>
      </c>
      <c r="S58" s="18" t="n">
        <v>0.12019892</v>
      </c>
      <c r="T58" s="20" t="n">
        <v>0.11975243</v>
      </c>
      <c r="U58" s="18" t="s">
        <v>349</v>
      </c>
      <c r="V58" s="20" t="s">
        <v>349</v>
      </c>
      <c r="W58" s="18" t="n">
        <v>3.39716455</v>
      </c>
      <c r="X58" s="20" t="n">
        <v>0.63128289</v>
      </c>
      <c r="Y58" s="18" t="n">
        <v>0</v>
      </c>
      <c r="Z58" s="20" t="n">
        <v>0</v>
      </c>
      <c r="AA58" s="18" t="n">
        <v>0</v>
      </c>
      <c r="AB58" s="20" t="n">
        <v>0</v>
      </c>
      <c r="AC58" s="18" t="n">
        <v>48.32622739</v>
      </c>
      <c r="AD58" s="20" t="n">
        <v>2.56143564</v>
      </c>
    </row>
    <row r="59" spans="1:30">
      <c r="A59" s="15" t="s">
        <v>401</v>
      </c>
      <c r="B59" s="17" t="n">
        <v>2548</v>
      </c>
      <c r="C59" s="18">
        <f>(2118.0/B59*100)</f>
        <v/>
      </c>
      <c r="D59" s="19" t="n">
        <v>430</v>
      </c>
      <c r="E59" s="18" t="n">
        <v>51.55931987</v>
      </c>
      <c r="F59" s="20" t="n">
        <v>2.86870119</v>
      </c>
      <c r="G59" s="18" t="n">
        <v>0</v>
      </c>
      <c r="H59" s="20" t="n">
        <v>0</v>
      </c>
      <c r="I59" s="18" t="n">
        <v>1.25716047</v>
      </c>
      <c r="J59" s="20" t="n">
        <v>0.9503311800000001</v>
      </c>
      <c r="K59" s="18" t="n">
        <v>0.28597357</v>
      </c>
      <c r="L59" s="20" t="n">
        <v>0.16879406</v>
      </c>
      <c r="M59" s="18" t="n">
        <v>0.887055</v>
      </c>
      <c r="N59" s="20" t="n">
        <v>0.87902994</v>
      </c>
      <c r="O59" s="18" t="n">
        <v>0.2598627</v>
      </c>
      <c r="P59" s="20" t="n">
        <v>0.18687038</v>
      </c>
      <c r="Q59" s="18" t="n">
        <v>0.18336771</v>
      </c>
      <c r="R59" s="20" t="n">
        <v>0.13199073</v>
      </c>
      <c r="S59" s="18" t="n">
        <v>1.00112987</v>
      </c>
      <c r="T59" s="20" t="n">
        <v>0.446534</v>
      </c>
      <c r="U59" s="18" t="s">
        <v>349</v>
      </c>
      <c r="V59" s="20" t="s">
        <v>349</v>
      </c>
      <c r="W59" s="18" t="n">
        <v>1.63151392</v>
      </c>
      <c r="X59" s="20" t="n">
        <v>0.78873925</v>
      </c>
      <c r="Y59" s="18" t="n">
        <v>0</v>
      </c>
      <c r="Z59" s="20" t="n">
        <v>0</v>
      </c>
      <c r="AA59" s="18" t="n">
        <v>0</v>
      </c>
      <c r="AB59" s="20" t="n">
        <v>0</v>
      </c>
      <c r="AC59" s="18" t="n">
        <v>42.9346169</v>
      </c>
      <c r="AD59" s="20" t="n">
        <v>2.47702498</v>
      </c>
    </row>
    <row r="60" spans="1:30">
      <c r="A60" s="15" t="s">
        <v>402</v>
      </c>
      <c r="B60" s="17" t="n">
        <v>2095</v>
      </c>
      <c r="C60" s="18">
        <f>(1764.0/B60*100)</f>
        <v/>
      </c>
      <c r="D60" s="19" t="n">
        <v>331</v>
      </c>
      <c r="E60" s="18" t="n">
        <v>31.70765618</v>
      </c>
      <c r="F60" s="20" t="n">
        <v>3.24521536</v>
      </c>
      <c r="G60" s="18" t="n">
        <v>0</v>
      </c>
      <c r="H60" s="20" t="n">
        <v>0</v>
      </c>
      <c r="I60" s="18" t="n">
        <v>0</v>
      </c>
      <c r="J60" s="20" t="n">
        <v>0</v>
      </c>
      <c r="K60" s="18" t="n">
        <v>2.29784116</v>
      </c>
      <c r="L60" s="20" t="n">
        <v>1.129167</v>
      </c>
      <c r="M60" s="18" t="n">
        <v>2.35973765</v>
      </c>
      <c r="N60" s="20" t="n">
        <v>0.86356478</v>
      </c>
      <c r="O60" s="18" t="n">
        <v>1.33051362</v>
      </c>
      <c r="P60" s="20" t="n">
        <v>0.68493695</v>
      </c>
      <c r="Q60" s="18" t="n">
        <v>6.45087666</v>
      </c>
      <c r="R60" s="20" t="n">
        <v>1.46503132</v>
      </c>
      <c r="S60" s="18" t="n">
        <v>1.36849124</v>
      </c>
      <c r="T60" s="20" t="n">
        <v>0.6671302099999999</v>
      </c>
      <c r="U60" s="18" t="s">
        <v>349</v>
      </c>
      <c r="V60" s="20" t="s">
        <v>349</v>
      </c>
      <c r="W60" s="18" t="n">
        <v>5.1300963</v>
      </c>
      <c r="X60" s="20" t="n">
        <v>1.23975799</v>
      </c>
      <c r="Y60" s="18" t="n">
        <v>0</v>
      </c>
      <c r="Z60" s="20" t="n">
        <v>0</v>
      </c>
      <c r="AA60" s="18" t="n">
        <v>0.25790894</v>
      </c>
      <c r="AB60" s="20" t="n">
        <v>0.25107114</v>
      </c>
      <c r="AC60" s="18" t="n">
        <v>49.09687825</v>
      </c>
      <c r="AD60" s="20" t="n">
        <v>3.16971034</v>
      </c>
    </row>
    <row r="61" spans="1:30">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c r="AA61" s="18" t="s">
        <v>349</v>
      </c>
      <c r="AB61" s="20" t="s">
        <v>349</v>
      </c>
      <c r="AC61" s="18" t="s">
        <v>349</v>
      </c>
      <c r="AD61" s="20" t="s">
        <v>349</v>
      </c>
    </row>
    <row r="62" spans="1:30">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c r="AA62" s="18" t="s">
        <v>349</v>
      </c>
      <c r="AB62" s="20" t="s">
        <v>349</v>
      </c>
      <c r="AC62" s="18" t="s">
        <v>349</v>
      </c>
      <c r="AD62" s="20" t="s">
        <v>349</v>
      </c>
    </row>
    <row r="63" spans="1:30">
      <c r="A63" s="15" t="s">
        <v>405</v>
      </c>
      <c r="B63" s="17" t="n">
        <v>2813</v>
      </c>
      <c r="C63" s="18">
        <f>(2368.0/B63*100)</f>
        <v/>
      </c>
      <c r="D63" s="19" t="n">
        <v>445</v>
      </c>
      <c r="E63" s="18" t="n">
        <v>10.56078059</v>
      </c>
      <c r="F63" s="20" t="n">
        <v>1.35645916</v>
      </c>
      <c r="G63" s="18" t="n">
        <v>0</v>
      </c>
      <c r="H63" s="20" t="n">
        <v>0</v>
      </c>
      <c r="I63" s="18" t="n">
        <v>0.67093452</v>
      </c>
      <c r="J63" s="20" t="n">
        <v>0.47315581</v>
      </c>
      <c r="K63" s="18" t="n">
        <v>2.06057377</v>
      </c>
      <c r="L63" s="20" t="n">
        <v>0.83340844</v>
      </c>
      <c r="M63" s="18" t="n">
        <v>0</v>
      </c>
      <c r="N63" s="20" t="n">
        <v>0</v>
      </c>
      <c r="O63" s="18" t="n">
        <v>0.54730831</v>
      </c>
      <c r="P63" s="20" t="n">
        <v>0.41055081</v>
      </c>
      <c r="Q63" s="18" t="n">
        <v>0.45475082</v>
      </c>
      <c r="R63" s="20" t="n">
        <v>0.42202328</v>
      </c>
      <c r="S63" s="18" t="n">
        <v>0.32464369</v>
      </c>
      <c r="T63" s="20" t="n">
        <v>0.32715542</v>
      </c>
      <c r="U63" s="18" t="s">
        <v>349</v>
      </c>
      <c r="V63" s="20" t="s">
        <v>349</v>
      </c>
      <c r="W63" s="18" t="n">
        <v>3.18528116</v>
      </c>
      <c r="X63" s="20" t="n">
        <v>0.9260665300000001</v>
      </c>
      <c r="Y63" s="18" t="n">
        <v>0</v>
      </c>
      <c r="Z63" s="20" t="n">
        <v>0</v>
      </c>
      <c r="AA63" s="18" t="n">
        <v>0</v>
      </c>
      <c r="AB63" s="20" t="n">
        <v>0</v>
      </c>
      <c r="AC63" s="18" t="n">
        <v>82.19572715</v>
      </c>
      <c r="AD63" s="20" t="n">
        <v>1.82882595</v>
      </c>
    </row>
    <row r="64" spans="1:30">
      <c r="A64" s="15" t="s">
        <v>406</v>
      </c>
      <c r="B64" s="17" t="n">
        <v>1844</v>
      </c>
      <c r="C64" s="18">
        <f>(1531.0/B64*100)</f>
        <v/>
      </c>
      <c r="D64" s="19" t="n">
        <v>313</v>
      </c>
      <c r="E64" s="18" t="n">
        <v>31.01011977</v>
      </c>
      <c r="F64" s="20" t="n">
        <v>2.39351923</v>
      </c>
      <c r="G64" s="18" t="n">
        <v>0</v>
      </c>
      <c r="H64" s="20" t="n">
        <v>0</v>
      </c>
      <c r="I64" s="18" t="n">
        <v>0.91437442</v>
      </c>
      <c r="J64" s="20" t="n">
        <v>0.51842534</v>
      </c>
      <c r="K64" s="18" t="n">
        <v>16.82828927</v>
      </c>
      <c r="L64" s="20" t="n">
        <v>1.93698213</v>
      </c>
      <c r="M64" s="18" t="n">
        <v>0.88559307</v>
      </c>
      <c r="N64" s="20" t="n">
        <v>0.5074584599999999</v>
      </c>
      <c r="O64" s="18" t="n">
        <v>1.20356757</v>
      </c>
      <c r="P64" s="20" t="n">
        <v>0.6022026</v>
      </c>
      <c r="Q64" s="18" t="n">
        <v>6.82418184</v>
      </c>
      <c r="R64" s="20" t="n">
        <v>1.47687097</v>
      </c>
      <c r="S64" s="18" t="n">
        <v>0.93063651</v>
      </c>
      <c r="T64" s="20" t="n">
        <v>0.31610475</v>
      </c>
      <c r="U64" s="18" t="s">
        <v>349</v>
      </c>
      <c r="V64" s="20" t="s">
        <v>349</v>
      </c>
      <c r="W64" s="18" t="n">
        <v>0.64481434</v>
      </c>
      <c r="X64" s="20" t="n">
        <v>0.45197573</v>
      </c>
      <c r="Y64" s="18" t="n">
        <v>0</v>
      </c>
      <c r="Z64" s="20" t="n">
        <v>0</v>
      </c>
      <c r="AA64" s="18" t="n">
        <v>0</v>
      </c>
      <c r="AB64" s="20" t="n">
        <v>0</v>
      </c>
      <c r="AC64" s="18" t="n">
        <v>40.75842321</v>
      </c>
      <c r="AD64" s="20" t="n">
        <v>2.60304669</v>
      </c>
    </row>
    <row r="65" spans="1:30">
      <c r="A65" s="15" t="s">
        <v>407</v>
      </c>
      <c r="B65" s="17" t="n">
        <v>2691</v>
      </c>
      <c r="C65" s="18">
        <f>(2226.0/B65*100)</f>
        <v/>
      </c>
      <c r="D65" s="19" t="n">
        <v>465</v>
      </c>
      <c r="E65" s="18" t="n">
        <v>20.2567375</v>
      </c>
      <c r="F65" s="20" t="n">
        <v>2.00605837</v>
      </c>
      <c r="G65" s="18" t="n">
        <v>0</v>
      </c>
      <c r="H65" s="20" t="n">
        <v>0</v>
      </c>
      <c r="I65" s="18" t="n">
        <v>0.84376694</v>
      </c>
      <c r="J65" s="20" t="n">
        <v>0.46155698</v>
      </c>
      <c r="K65" s="18" t="n">
        <v>1.75022602</v>
      </c>
      <c r="L65" s="20" t="n">
        <v>0.57273131</v>
      </c>
      <c r="M65" s="18" t="n">
        <v>1.08334684</v>
      </c>
      <c r="N65" s="20" t="n">
        <v>0.5511173700000001</v>
      </c>
      <c r="O65" s="18" t="n">
        <v>1.63313036</v>
      </c>
      <c r="P65" s="20" t="n">
        <v>0.55372764</v>
      </c>
      <c r="Q65" s="18" t="n">
        <v>0.83594187</v>
      </c>
      <c r="R65" s="20" t="n">
        <v>0.49995382</v>
      </c>
      <c r="S65" s="18" t="n">
        <v>1.18402967</v>
      </c>
      <c r="T65" s="20" t="n">
        <v>0.34970298</v>
      </c>
      <c r="U65" s="18" t="s">
        <v>349</v>
      </c>
      <c r="V65" s="20" t="s">
        <v>349</v>
      </c>
      <c r="W65" s="18" t="n">
        <v>7.91260024</v>
      </c>
      <c r="X65" s="20" t="n">
        <v>1.33416651</v>
      </c>
      <c r="Y65" s="18" t="n">
        <v>0</v>
      </c>
      <c r="Z65" s="20" t="n">
        <v>0</v>
      </c>
      <c r="AA65" s="18" t="n">
        <v>0</v>
      </c>
      <c r="AB65" s="20" t="n">
        <v>0</v>
      </c>
      <c r="AC65" s="18" t="n">
        <v>64.50022056</v>
      </c>
      <c r="AD65" s="20" t="n">
        <v>2.40241061</v>
      </c>
    </row>
    <row r="66" spans="1:30">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c r="AA66" s="18" t="s">
        <v>349</v>
      </c>
      <c r="AB66" s="20" t="s">
        <v>349</v>
      </c>
      <c r="AC66" s="18" t="s">
        <v>349</v>
      </c>
      <c r="AD66" s="20" t="s">
        <v>349</v>
      </c>
    </row>
    <row r="67" spans="1:30">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c r="AA67" s="18" t="s">
        <v>349</v>
      </c>
      <c r="AB67" s="20" t="s">
        <v>349</v>
      </c>
      <c r="AC67" s="18" t="s">
        <v>349</v>
      </c>
      <c r="AD67" s="20" t="s">
        <v>349</v>
      </c>
    </row>
    <row r="68" spans="1:30">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c r="AA68" s="18" t="s">
        <v>349</v>
      </c>
      <c r="AB68" s="20" t="s">
        <v>349</v>
      </c>
      <c r="AC68" s="18" t="s">
        <v>349</v>
      </c>
      <c r="AD68" s="20" t="s">
        <v>349</v>
      </c>
    </row>
    <row r="69" spans="1:30">
      <c r="A69" s="15" t="s">
        <v>411</v>
      </c>
      <c r="B69" s="17" t="n">
        <v>2410</v>
      </c>
      <c r="C69" s="18">
        <f>(2021.0/B69*100)</f>
        <v/>
      </c>
      <c r="D69" s="19" t="n">
        <v>389</v>
      </c>
      <c r="E69" s="18" t="n">
        <v>84.8973505</v>
      </c>
      <c r="F69" s="20" t="n">
        <v>1.74610829</v>
      </c>
      <c r="G69" s="18" t="n">
        <v>0</v>
      </c>
      <c r="H69" s="20" t="n">
        <v>0</v>
      </c>
      <c r="I69" s="18" t="n">
        <v>4.46505026</v>
      </c>
      <c r="J69" s="20" t="n">
        <v>1.09355779</v>
      </c>
      <c r="K69" s="18" t="n">
        <v>1.83221453</v>
      </c>
      <c r="L69" s="20" t="n">
        <v>0.69491323</v>
      </c>
      <c r="M69" s="18" t="n">
        <v>2.74473225</v>
      </c>
      <c r="N69" s="20" t="n">
        <v>0.9090714</v>
      </c>
      <c r="O69" s="18" t="n">
        <v>3.19099072</v>
      </c>
      <c r="P69" s="20" t="n">
        <v>0.82094086</v>
      </c>
      <c r="Q69" s="18" t="n">
        <v>0.96074547</v>
      </c>
      <c r="R69" s="20" t="n">
        <v>0.48494464</v>
      </c>
      <c r="S69" s="18" t="n">
        <v>1.65786611</v>
      </c>
      <c r="T69" s="20" t="n">
        <v>0.63041759</v>
      </c>
      <c r="U69" s="18" t="s">
        <v>349</v>
      </c>
      <c r="V69" s="20" t="s">
        <v>349</v>
      </c>
      <c r="W69" s="18" t="n">
        <v>0</v>
      </c>
      <c r="X69" s="20" t="n">
        <v>0</v>
      </c>
      <c r="Y69" s="18" t="n">
        <v>0</v>
      </c>
      <c r="Z69" s="20" t="n">
        <v>0</v>
      </c>
      <c r="AA69" s="18" t="n">
        <v>0</v>
      </c>
      <c r="AB69" s="20" t="n">
        <v>0</v>
      </c>
      <c r="AC69" s="18" t="n">
        <v>0.25105016</v>
      </c>
      <c r="AD69" s="20" t="n">
        <v>0.24751514</v>
      </c>
    </row>
    <row r="70" spans="1:30">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c r="AA70" s="18" t="s">
        <v>349</v>
      </c>
      <c r="AB70" s="20" t="s">
        <v>349</v>
      </c>
      <c r="AC70" s="18" t="s">
        <v>349</v>
      </c>
      <c r="AD70" s="20" t="s">
        <v>349</v>
      </c>
    </row>
    <row r="71" spans="1:30">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c r="AA71" s="18" t="s">
        <v>349</v>
      </c>
      <c r="AB71" s="20" t="s">
        <v>349</v>
      </c>
      <c r="AC71" s="18" t="s">
        <v>349</v>
      </c>
      <c r="AD71" s="20" t="s">
        <v>349</v>
      </c>
    </row>
    <row r="72" spans="1:30">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c r="AA72" s="18" t="s">
        <v>349</v>
      </c>
      <c r="AB72" s="20" t="s">
        <v>349</v>
      </c>
      <c r="AC72" s="18" t="s">
        <v>349</v>
      </c>
      <c r="AD72" s="20" t="s">
        <v>349</v>
      </c>
    </row>
    <row r="73" spans="1:30">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c r="AA73" s="18" t="s">
        <v>349</v>
      </c>
      <c r="AB73" s="20" t="s">
        <v>349</v>
      </c>
      <c r="AC73" s="18" t="s">
        <v>349</v>
      </c>
      <c r="AD73" s="20" t="s">
        <v>349</v>
      </c>
    </row>
    <row r="74" spans="1:30">
      <c r="A74" s="15" t="s">
        <v>416</v>
      </c>
      <c r="B74" s="17" t="n">
        <v>2239</v>
      </c>
      <c r="C74" s="18">
        <f>(1862.0/B74*100)</f>
        <v/>
      </c>
      <c r="D74" s="19" t="n">
        <v>377</v>
      </c>
      <c r="E74" s="18" t="n">
        <v>24.04573551</v>
      </c>
      <c r="F74" s="20" t="n">
        <v>2.40478321</v>
      </c>
      <c r="G74" s="18" t="n">
        <v>0</v>
      </c>
      <c r="H74" s="20" t="n">
        <v>0</v>
      </c>
      <c r="I74" s="18" t="n">
        <v>0.70692084</v>
      </c>
      <c r="J74" s="20" t="n">
        <v>0.45459789</v>
      </c>
      <c r="K74" s="18" t="n">
        <v>4.77644215</v>
      </c>
      <c r="L74" s="20" t="n">
        <v>1.10712474</v>
      </c>
      <c r="M74" s="18" t="n">
        <v>0.12039366</v>
      </c>
      <c r="N74" s="20" t="n">
        <v>0.08204886</v>
      </c>
      <c r="O74" s="18" t="n">
        <v>1.91767408</v>
      </c>
      <c r="P74" s="20" t="n">
        <v>0.63361586</v>
      </c>
      <c r="Q74" s="18" t="n">
        <v>2.93102387</v>
      </c>
      <c r="R74" s="20" t="n">
        <v>0.91206722</v>
      </c>
      <c r="S74" s="18" t="n">
        <v>0</v>
      </c>
      <c r="T74" s="20" t="n">
        <v>0</v>
      </c>
      <c r="U74" s="18" t="s">
        <v>349</v>
      </c>
      <c r="V74" s="20" t="s">
        <v>349</v>
      </c>
      <c r="W74" s="18" t="n">
        <v>10.52108426</v>
      </c>
      <c r="X74" s="20" t="n">
        <v>1.88268974</v>
      </c>
      <c r="Y74" s="18" t="n">
        <v>0</v>
      </c>
      <c r="Z74" s="20" t="n">
        <v>0</v>
      </c>
      <c r="AA74" s="18" t="n">
        <v>0</v>
      </c>
      <c r="AB74" s="20" t="n">
        <v>0</v>
      </c>
      <c r="AC74" s="18" t="n">
        <v>54.98072563</v>
      </c>
      <c r="AD74" s="20" t="n">
        <v>2.70749822</v>
      </c>
    </row>
    <row r="75" spans="1:30">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c r="AA75" s="18" t="s">
        <v>349</v>
      </c>
      <c r="AB75" s="20" t="s">
        <v>349</v>
      </c>
      <c r="AC75" s="18" t="s">
        <v>349</v>
      </c>
      <c r="AD75" s="20" t="s">
        <v>349</v>
      </c>
    </row>
    <row r="76" spans="1:30">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c r="AA76" s="18" t="s">
        <v>349</v>
      </c>
      <c r="AB76" s="20" t="s">
        <v>349</v>
      </c>
      <c r="AC76" s="18" t="s">
        <v>349</v>
      </c>
      <c r="AD76" s="20" t="s">
        <v>349</v>
      </c>
    </row>
    <row r="77" spans="1:30">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c r="AA77" s="18" t="s">
        <v>349</v>
      </c>
      <c r="AB77" s="20" t="s">
        <v>349</v>
      </c>
      <c r="AC77" s="18" t="s">
        <v>349</v>
      </c>
      <c r="AD77" s="20" t="s">
        <v>349</v>
      </c>
    </row>
    <row r="78" spans="1:30">
      <c r="A78" s="15" t="s">
        <v>420</v>
      </c>
      <c r="B78" s="17" t="n">
        <v>2786</v>
      </c>
      <c r="C78" s="18">
        <f>(2329.0/B78*100)</f>
        <v/>
      </c>
      <c r="D78" s="19" t="n">
        <v>457</v>
      </c>
      <c r="E78" s="18" t="n">
        <v>77.40999272000001</v>
      </c>
      <c r="F78" s="20" t="n">
        <v>2.22481419</v>
      </c>
      <c r="G78" s="18" t="n">
        <v>0</v>
      </c>
      <c r="H78" s="20" t="n">
        <v>0</v>
      </c>
      <c r="I78" s="18" t="n">
        <v>2.60538896</v>
      </c>
      <c r="J78" s="20" t="n">
        <v>0.66520939</v>
      </c>
      <c r="K78" s="18" t="n">
        <v>1.60007176</v>
      </c>
      <c r="L78" s="20" t="n">
        <v>0.55389107</v>
      </c>
      <c r="M78" s="18" t="n">
        <v>2.68220016</v>
      </c>
      <c r="N78" s="20" t="n">
        <v>0.62317066</v>
      </c>
      <c r="O78" s="18" t="n">
        <v>7.65377328</v>
      </c>
      <c r="P78" s="20" t="n">
        <v>1.37314419</v>
      </c>
      <c r="Q78" s="18" t="n">
        <v>1.82014938</v>
      </c>
      <c r="R78" s="20" t="n">
        <v>0.61537016</v>
      </c>
      <c r="S78" s="18" t="n">
        <v>0.88443375</v>
      </c>
      <c r="T78" s="20" t="n">
        <v>0.41076426</v>
      </c>
      <c r="U78" s="18" t="s">
        <v>349</v>
      </c>
      <c r="V78" s="20" t="s">
        <v>349</v>
      </c>
      <c r="W78" s="18" t="n">
        <v>0</v>
      </c>
      <c r="X78" s="20" t="n">
        <v>0</v>
      </c>
      <c r="Y78" s="18" t="n">
        <v>0</v>
      </c>
      <c r="Z78" s="20" t="n">
        <v>0</v>
      </c>
      <c r="AA78" s="18" t="n">
        <v>0</v>
      </c>
      <c r="AB78" s="20" t="n">
        <v>0</v>
      </c>
      <c r="AC78" s="18" t="n">
        <v>5.34398998</v>
      </c>
      <c r="AD78" s="20" t="n">
        <v>1.25020599</v>
      </c>
    </row>
    <row customHeight="1" ht="25" r="79" spans="1:30">
      <c r="A79" s="15" t="s">
        <v>421</v>
      </c>
      <c r="B79" s="17" t="n">
        <v>787</v>
      </c>
      <c r="C79" s="18">
        <f>(655.0/B79*100)</f>
        <v/>
      </c>
      <c r="D79" s="19" t="n">
        <v>132</v>
      </c>
      <c r="E79" s="18" t="n">
        <v>28.35608519</v>
      </c>
      <c r="F79" s="20" t="n">
        <v>4.13322683</v>
      </c>
      <c r="G79" s="18" t="n">
        <v>0</v>
      </c>
      <c r="H79" s="20" t="n">
        <v>0</v>
      </c>
      <c r="I79" s="18" t="n">
        <v>0.79862655</v>
      </c>
      <c r="J79" s="20" t="n">
        <v>0.76675517</v>
      </c>
      <c r="K79" s="18" t="n">
        <v>9.50201171</v>
      </c>
      <c r="L79" s="20" t="n">
        <v>3.1277308</v>
      </c>
      <c r="M79" s="18" t="n">
        <v>0.7748888</v>
      </c>
      <c r="N79" s="20" t="n">
        <v>0.75565858</v>
      </c>
      <c r="O79" s="18" t="n">
        <v>0.90349187</v>
      </c>
      <c r="P79" s="20" t="n">
        <v>0.6602164700000001</v>
      </c>
      <c r="Q79" s="18" t="n">
        <v>6.15169104</v>
      </c>
      <c r="R79" s="20" t="n">
        <v>2.56385948</v>
      </c>
      <c r="S79" s="18" t="n">
        <v>0</v>
      </c>
      <c r="T79" s="20" t="n">
        <v>0</v>
      </c>
      <c r="U79" s="18" t="s">
        <v>349</v>
      </c>
      <c r="V79" s="20" t="s">
        <v>349</v>
      </c>
      <c r="W79" s="18" t="n">
        <v>4.51888287</v>
      </c>
      <c r="X79" s="20" t="n">
        <v>1.85697444</v>
      </c>
      <c r="Y79" s="18" t="n">
        <v>0</v>
      </c>
      <c r="Z79" s="20" t="n">
        <v>0</v>
      </c>
      <c r="AA79" s="18" t="n">
        <v>0</v>
      </c>
      <c r="AB79" s="20" t="n">
        <v>0</v>
      </c>
      <c r="AC79" s="18" t="n">
        <v>48.99432197</v>
      </c>
      <c r="AD79" s="20" t="n">
        <v>5.84673825</v>
      </c>
    </row>
    <row r="80" spans="1:3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c r="AA80" s="18" t="s">
        <v>349</v>
      </c>
      <c r="AB80" s="20" t="s">
        <v>349</v>
      </c>
      <c r="AC80" s="18" t="s">
        <v>349</v>
      </c>
      <c r="AD80" s="20" t="s">
        <v>349</v>
      </c>
    </row>
    <row r="81" spans="1:30">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c r="AA81" s="18" t="s">
        <v>349</v>
      </c>
      <c r="AB81" s="20" t="s">
        <v>349</v>
      </c>
      <c r="AC81" s="18" t="s">
        <v>349</v>
      </c>
      <c r="AD81" s="20" t="s">
        <v>349</v>
      </c>
    </row>
    <row r="82" spans="1:3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c r="AA82" s="22" t="s">
        <v>424</v>
      </c>
      <c r="AB82" s="22" t="s">
        <v>424</v>
      </c>
      <c r="AC82" s="22" t="s">
        <v>424</v>
      </c>
      <c r="AD82" s="22" t="s">
        <v>424</v>
      </c>
    </row>
    <row r="83" spans="1:30">
      <c r="A83" s="3" t="s">
        <v>425</v>
      </c>
    </row>
    <row r="84" spans="1:30">
      <c r="A84" s="23" t="s">
        <v>426</v>
      </c>
    </row>
    <row r="85" spans="1:30">
      <c r="A85" s="23" t="s">
        <v>427</v>
      </c>
    </row>
    <row customHeight="1" ht="30" r="86" spans="1:30">
      <c r="A86" s="23" t="s">
        <v>428</v>
      </c>
    </row>
    <row customHeight="1" ht="30" r="87" spans="1:30">
      <c r="A87" s="23" t="s">
        <v>424</v>
      </c>
    </row>
    <row customHeight="1" ht="30" r="88" spans="1:30">
      <c r="A88" s="23" t="s">
        <v>429</v>
      </c>
    </row>
    <row customHeight="1" ht="30" r="89" spans="1:30">
      <c r="A89" s="23" t="s">
        <v>430</v>
      </c>
    </row>
    <row customHeight="1" ht="30" r="90" spans="1:30">
      <c r="A90" s="23" t="s">
        <v>431</v>
      </c>
    </row>
    <row customHeight="1" ht="30" r="91" spans="1:30">
      <c r="A91" s="23" t="s">
        <v>432</v>
      </c>
    </row>
    <row customHeight="1" ht="30" r="92" spans="1:30">
      <c r="A92" s="23" t="s">
        <v>433</v>
      </c>
    </row>
    <row customHeight="1" ht="30" r="93" spans="1:30">
      <c r="A93" s="23" t="s">
        <v>434</v>
      </c>
    </row>
    <row customHeight="1" ht="30" r="94" spans="1:30">
      <c r="A94" s="23" t="s">
        <v>435</v>
      </c>
    </row>
    <row customHeight="1" ht="30" r="95" spans="1:30">
      <c r="A95" s="23" t="s">
        <v>436</v>
      </c>
    </row>
    <row customHeight="1" ht="30" r="96" spans="1:30">
      <c r="A96" s="23" t="s">
        <v>437</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46.04630016</v>
      </c>
      <c r="F44" s="20" t="n">
        <v>2.86483511</v>
      </c>
      <c r="G44" s="18" t="n">
        <v>31.55097722</v>
      </c>
      <c r="H44" s="20" t="n">
        <v>2.07636481</v>
      </c>
      <c r="I44" s="18" t="s">
        <v>349</v>
      </c>
      <c r="J44" s="20" t="s">
        <v>349</v>
      </c>
      <c r="K44" s="18" t="n">
        <v>10.51823655</v>
      </c>
      <c r="L44" s="20" t="n">
        <v>1.99722305</v>
      </c>
      <c r="M44" s="18" t="n">
        <v>0</v>
      </c>
      <c r="N44" s="20" t="n">
        <v>0</v>
      </c>
      <c r="O44" s="18" t="n">
        <v>0</v>
      </c>
      <c r="P44" s="20" t="n">
        <v>0</v>
      </c>
      <c r="Q44" s="18" t="n">
        <v>11.88448607</v>
      </c>
      <c r="R44" s="20" t="n">
        <v>1.55652627</v>
      </c>
    </row>
    <row r="45" spans="1:18">
      <c r="A45" s="15" t="s">
        <v>387</v>
      </c>
      <c r="B45" s="17" t="n">
        <v>2849</v>
      </c>
      <c r="C45" s="18">
        <f>(2395.0/B45*100)</f>
        <v/>
      </c>
      <c r="D45" s="19" t="n">
        <v>454</v>
      </c>
      <c r="E45" s="18" t="n">
        <v>68.43066147</v>
      </c>
      <c r="F45" s="20" t="n">
        <v>2.50473284</v>
      </c>
      <c r="G45" s="18" t="n">
        <v>14.44246959</v>
      </c>
      <c r="H45" s="20" t="n">
        <v>1.80219703</v>
      </c>
      <c r="I45" s="18" t="s">
        <v>349</v>
      </c>
      <c r="J45" s="20" t="s">
        <v>349</v>
      </c>
      <c r="K45" s="18" t="n">
        <v>7.95369115</v>
      </c>
      <c r="L45" s="20" t="n">
        <v>1.38305302</v>
      </c>
      <c r="M45" s="18" t="n">
        <v>0</v>
      </c>
      <c r="N45" s="20" t="n">
        <v>0</v>
      </c>
      <c r="O45" s="18" t="n">
        <v>0</v>
      </c>
      <c r="P45" s="20" t="n">
        <v>0</v>
      </c>
      <c r="Q45" s="18" t="n">
        <v>9.17317778</v>
      </c>
      <c r="R45" s="20" t="n">
        <v>1.41505053</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56.14918555</v>
      </c>
      <c r="F49" s="20" t="n">
        <v>2.55124674</v>
      </c>
      <c r="G49" s="18" t="n">
        <v>31.77963075</v>
      </c>
      <c r="H49" s="20" t="n">
        <v>2.44798906</v>
      </c>
      <c r="I49" s="18" t="s">
        <v>349</v>
      </c>
      <c r="J49" s="20" t="s">
        <v>349</v>
      </c>
      <c r="K49" s="18" t="n">
        <v>3.18035875</v>
      </c>
      <c r="L49" s="20" t="n">
        <v>0.87157875</v>
      </c>
      <c r="M49" s="18" t="n">
        <v>0</v>
      </c>
      <c r="N49" s="20" t="n">
        <v>0</v>
      </c>
      <c r="O49" s="18" t="n">
        <v>0.02736672</v>
      </c>
      <c r="P49" s="20" t="n">
        <v>0.02579328</v>
      </c>
      <c r="Q49" s="18" t="n">
        <v>8.86345822</v>
      </c>
      <c r="R49" s="20" t="n">
        <v>1.67646057</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58.47151748</v>
      </c>
      <c r="F55" s="20" t="n">
        <v>2.35436465</v>
      </c>
      <c r="G55" s="18" t="n">
        <v>27.25406042</v>
      </c>
      <c r="H55" s="20" t="n">
        <v>2.18628292</v>
      </c>
      <c r="I55" s="18" t="s">
        <v>349</v>
      </c>
      <c r="J55" s="20" t="s">
        <v>349</v>
      </c>
      <c r="K55" s="18" t="n">
        <v>2.103294</v>
      </c>
      <c r="L55" s="20" t="n">
        <v>0.62753584</v>
      </c>
      <c r="M55" s="18" t="n">
        <v>0</v>
      </c>
      <c r="N55" s="20" t="n">
        <v>0</v>
      </c>
      <c r="O55" s="18" t="n">
        <v>0</v>
      </c>
      <c r="P55" s="20" t="n">
        <v>0</v>
      </c>
      <c r="Q55" s="18" t="n">
        <v>12.1711281</v>
      </c>
      <c r="R55" s="20" t="n">
        <v>1.62216856</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(2649.0/B57*100)</f>
        <v/>
      </c>
      <c r="D57" s="19" t="n">
        <v>521</v>
      </c>
      <c r="E57" s="18" t="n">
        <v>65.87962290999999</v>
      </c>
      <c r="F57" s="20" t="n">
        <v>2.3925993</v>
      </c>
      <c r="G57" s="18" t="n">
        <v>27.95084446</v>
      </c>
      <c r="H57" s="20" t="n">
        <v>1.92745865</v>
      </c>
      <c r="I57" s="18" t="s">
        <v>349</v>
      </c>
      <c r="J57" s="20" t="s">
        <v>349</v>
      </c>
      <c r="K57" s="18" t="n">
        <v>0.76999692</v>
      </c>
      <c r="L57" s="20" t="n">
        <v>0.37959472</v>
      </c>
      <c r="M57" s="18" t="n">
        <v>0</v>
      </c>
      <c r="N57" s="20" t="n">
        <v>0</v>
      </c>
      <c r="O57" s="18" t="n">
        <v>0</v>
      </c>
      <c r="P57" s="20" t="n">
        <v>0</v>
      </c>
      <c r="Q57" s="18" t="n">
        <v>5.39953571</v>
      </c>
      <c r="R57" s="20" t="n">
        <v>1.26707553</v>
      </c>
    </row>
    <row r="58" spans="1:18">
      <c r="A58" s="15" t="s">
        <v>400</v>
      </c>
      <c r="B58" s="17" t="n">
        <v>3530</v>
      </c>
      <c r="C58" s="18">
        <f>(2930.0/B58*100)</f>
        <v/>
      </c>
      <c r="D58" s="19" t="n">
        <v>600</v>
      </c>
      <c r="E58" s="18" t="n">
        <v>71.48857259</v>
      </c>
      <c r="F58" s="20" t="n">
        <v>2.15614907</v>
      </c>
      <c r="G58" s="18" t="n">
        <v>17.91442632</v>
      </c>
      <c r="H58" s="20" t="n">
        <v>1.8225302</v>
      </c>
      <c r="I58" s="18" t="s">
        <v>349</v>
      </c>
      <c r="J58" s="20" t="s">
        <v>349</v>
      </c>
      <c r="K58" s="18" t="n">
        <v>3.39716455</v>
      </c>
      <c r="L58" s="20" t="n">
        <v>0.63128289</v>
      </c>
      <c r="M58" s="18" t="n">
        <v>0</v>
      </c>
      <c r="N58" s="20" t="n">
        <v>0</v>
      </c>
      <c r="O58" s="18" t="n">
        <v>0</v>
      </c>
      <c r="P58" s="20" t="n">
        <v>0</v>
      </c>
      <c r="Q58" s="18" t="n">
        <v>7.19983654</v>
      </c>
      <c r="R58" s="20" t="n">
        <v>1.26555352</v>
      </c>
    </row>
    <row r="59" spans="1:18">
      <c r="A59" s="15" t="s">
        <v>401</v>
      </c>
      <c r="B59" s="17" t="n">
        <v>2548</v>
      </c>
      <c r="C59" s="18">
        <f>(2118.0/B59*100)</f>
        <v/>
      </c>
      <c r="D59" s="19" t="n">
        <v>430</v>
      </c>
      <c r="E59" s="18" t="n">
        <v>66.09682743</v>
      </c>
      <c r="F59" s="20" t="n">
        <v>2.84396212</v>
      </c>
      <c r="G59" s="18" t="n">
        <v>27.41698807</v>
      </c>
      <c r="H59" s="20" t="n">
        <v>2.76757817</v>
      </c>
      <c r="I59" s="18" t="s">
        <v>349</v>
      </c>
      <c r="J59" s="20" t="s">
        <v>349</v>
      </c>
      <c r="K59" s="18" t="n">
        <v>1.63151392</v>
      </c>
      <c r="L59" s="20" t="n">
        <v>0.78873925</v>
      </c>
      <c r="M59" s="18" t="n">
        <v>0</v>
      </c>
      <c r="N59" s="20" t="n">
        <v>0</v>
      </c>
      <c r="O59" s="18" t="n">
        <v>0</v>
      </c>
      <c r="P59" s="20" t="n">
        <v>0</v>
      </c>
      <c r="Q59" s="18" t="n">
        <v>4.85467059</v>
      </c>
      <c r="R59" s="20" t="n">
        <v>0.88380194</v>
      </c>
    </row>
    <row r="60" spans="1:18">
      <c r="A60" s="15" t="s">
        <v>402</v>
      </c>
      <c r="B60" s="17" t="n">
        <v>2095</v>
      </c>
      <c r="C60" s="18">
        <f>(1764.0/B60*100)</f>
        <v/>
      </c>
      <c r="D60" s="19" t="n">
        <v>331</v>
      </c>
      <c r="E60" s="18" t="n">
        <v>61.42448104</v>
      </c>
      <c r="F60" s="20" t="n">
        <v>3.19308473</v>
      </c>
      <c r="G60" s="18" t="n">
        <v>26.14840368</v>
      </c>
      <c r="H60" s="20" t="n">
        <v>2.68624726</v>
      </c>
      <c r="I60" s="18" t="s">
        <v>349</v>
      </c>
      <c r="J60" s="20" t="s">
        <v>349</v>
      </c>
      <c r="K60" s="18" t="n">
        <v>5.1300963</v>
      </c>
      <c r="L60" s="20" t="n">
        <v>1.23975799</v>
      </c>
      <c r="M60" s="18" t="n">
        <v>0</v>
      </c>
      <c r="N60" s="20" t="n">
        <v>0</v>
      </c>
      <c r="O60" s="18" t="n">
        <v>0</v>
      </c>
      <c r="P60" s="20" t="n">
        <v>0</v>
      </c>
      <c r="Q60" s="18" t="n">
        <v>7.29701898</v>
      </c>
      <c r="R60" s="20" t="n">
        <v>1.81929182</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62.57244269</v>
      </c>
      <c r="F63" s="20" t="n">
        <v>2.24052289</v>
      </c>
      <c r="G63" s="18" t="n">
        <v>18.65418804</v>
      </c>
      <c r="H63" s="20" t="n">
        <v>1.93647763</v>
      </c>
      <c r="I63" s="18" t="s">
        <v>349</v>
      </c>
      <c r="J63" s="20" t="s">
        <v>349</v>
      </c>
      <c r="K63" s="18" t="n">
        <v>3.18528116</v>
      </c>
      <c r="L63" s="20" t="n">
        <v>0.9260665300000001</v>
      </c>
      <c r="M63" s="18" t="n">
        <v>0</v>
      </c>
      <c r="N63" s="20" t="n">
        <v>0</v>
      </c>
      <c r="O63" s="18" t="n">
        <v>0</v>
      </c>
      <c r="P63" s="20" t="n">
        <v>0</v>
      </c>
      <c r="Q63" s="18" t="n">
        <v>15.58808812</v>
      </c>
      <c r="R63" s="20" t="n">
        <v>1.54455837</v>
      </c>
    </row>
    <row r="64" spans="1:18">
      <c r="A64" s="15" t="s">
        <v>406</v>
      </c>
      <c r="B64" s="17" t="n">
        <v>1844</v>
      </c>
      <c r="C64" s="18">
        <f>(1531.0/B64*100)</f>
        <v/>
      </c>
      <c r="D64" s="19" t="n">
        <v>313</v>
      </c>
      <c r="E64" s="18" t="n">
        <v>45.65678484</v>
      </c>
      <c r="F64" s="20" t="n">
        <v>2.70144988</v>
      </c>
      <c r="G64" s="18" t="n">
        <v>49.51374716</v>
      </c>
      <c r="H64" s="20" t="n">
        <v>2.78703129</v>
      </c>
      <c r="I64" s="18" t="s">
        <v>349</v>
      </c>
      <c r="J64" s="20" t="s">
        <v>349</v>
      </c>
      <c r="K64" s="18" t="n">
        <v>0.64481434</v>
      </c>
      <c r="L64" s="20" t="n">
        <v>0.45197573</v>
      </c>
      <c r="M64" s="18" t="n">
        <v>0</v>
      </c>
      <c r="N64" s="20" t="n">
        <v>0</v>
      </c>
      <c r="O64" s="18" t="n">
        <v>0</v>
      </c>
      <c r="P64" s="20" t="n">
        <v>0</v>
      </c>
      <c r="Q64" s="18" t="n">
        <v>4.18465366</v>
      </c>
      <c r="R64" s="20" t="n">
        <v>1.23931183</v>
      </c>
    </row>
    <row r="65" spans="1:18">
      <c r="A65" s="15" t="s">
        <v>407</v>
      </c>
      <c r="B65" s="17" t="n">
        <v>2691</v>
      </c>
      <c r="C65" s="18">
        <f>(2226.0/B65*100)</f>
        <v/>
      </c>
      <c r="D65" s="19" t="n">
        <v>465</v>
      </c>
      <c r="E65" s="18" t="n">
        <v>51.29839482</v>
      </c>
      <c r="F65" s="20" t="n">
        <v>2.47592282</v>
      </c>
      <c r="G65" s="18" t="n">
        <v>31.81202267</v>
      </c>
      <c r="H65" s="20" t="n">
        <v>2.13430729</v>
      </c>
      <c r="I65" s="18" t="s">
        <v>349</v>
      </c>
      <c r="J65" s="20" t="s">
        <v>349</v>
      </c>
      <c r="K65" s="18" t="n">
        <v>7.91260024</v>
      </c>
      <c r="L65" s="20" t="n">
        <v>1.33416651</v>
      </c>
      <c r="M65" s="18" t="n">
        <v>0</v>
      </c>
      <c r="N65" s="20" t="n">
        <v>0</v>
      </c>
      <c r="O65" s="18" t="n">
        <v>0</v>
      </c>
      <c r="P65" s="20" t="n">
        <v>0</v>
      </c>
      <c r="Q65" s="18" t="n">
        <v>8.97698228</v>
      </c>
      <c r="R65" s="20" t="n">
        <v>1.66452391</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64.56961554</v>
      </c>
      <c r="F69" s="20" t="n">
        <v>2.47656865</v>
      </c>
      <c r="G69" s="18" t="n">
        <v>33.77122568</v>
      </c>
      <c r="H69" s="20" t="n">
        <v>2.47800396</v>
      </c>
      <c r="I69" s="18" t="s">
        <v>349</v>
      </c>
      <c r="J69" s="20" t="s">
        <v>349</v>
      </c>
      <c r="K69" s="18" t="n">
        <v>0</v>
      </c>
      <c r="L69" s="20" t="n">
        <v>0</v>
      </c>
      <c r="M69" s="18" t="n">
        <v>0</v>
      </c>
      <c r="N69" s="20" t="n">
        <v>0</v>
      </c>
      <c r="O69" s="18" t="n">
        <v>0.25456951</v>
      </c>
      <c r="P69" s="20" t="n">
        <v>0.25288389</v>
      </c>
      <c r="Q69" s="18" t="n">
        <v>1.40458926</v>
      </c>
      <c r="R69" s="20" t="n">
        <v>0.56493965</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48.28717753</v>
      </c>
      <c r="F74" s="20" t="n">
        <v>2.64741703</v>
      </c>
      <c r="G74" s="18" t="n">
        <v>30.24657589</v>
      </c>
      <c r="H74" s="20" t="n">
        <v>2.47434872</v>
      </c>
      <c r="I74" s="18" t="s">
        <v>349</v>
      </c>
      <c r="J74" s="20" t="s">
        <v>349</v>
      </c>
      <c r="K74" s="18" t="n">
        <v>10.7751251</v>
      </c>
      <c r="L74" s="20" t="n">
        <v>1.89790049</v>
      </c>
      <c r="M74" s="18" t="n">
        <v>0</v>
      </c>
      <c r="N74" s="20" t="n">
        <v>0</v>
      </c>
      <c r="O74" s="18" t="n">
        <v>0</v>
      </c>
      <c r="P74" s="20" t="n">
        <v>0</v>
      </c>
      <c r="Q74" s="18" t="n">
        <v>10.69112148</v>
      </c>
      <c r="R74" s="20" t="n">
        <v>1.75734684</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15.95124679</v>
      </c>
      <c r="F78" s="20" t="n">
        <v>1.95158434</v>
      </c>
      <c r="G78" s="18" t="n">
        <v>84.04875321</v>
      </c>
      <c r="H78" s="20" t="n">
        <v>1.95158434</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(655.0/B79*100)</f>
        <v/>
      </c>
      <c r="D79" s="19" t="n">
        <v>132</v>
      </c>
      <c r="E79" s="18" t="n">
        <v>36.52857398</v>
      </c>
      <c r="F79" s="20" t="n">
        <v>4.68486113</v>
      </c>
      <c r="G79" s="18" t="n">
        <v>49.71166088</v>
      </c>
      <c r="H79" s="20" t="n">
        <v>3.68830197</v>
      </c>
      <c r="I79" s="18" t="s">
        <v>349</v>
      </c>
      <c r="J79" s="20" t="s">
        <v>349</v>
      </c>
      <c r="K79" s="18" t="n">
        <v>4.51888287</v>
      </c>
      <c r="L79" s="20" t="n">
        <v>1.85697444</v>
      </c>
      <c r="M79" s="18" t="n">
        <v>0</v>
      </c>
      <c r="N79" s="20" t="n">
        <v>0</v>
      </c>
      <c r="O79" s="18" t="n">
        <v>0.33892321</v>
      </c>
      <c r="P79" s="20" t="n">
        <v>0.32694494</v>
      </c>
      <c r="Q79" s="18" t="n">
        <v>8.90195905</v>
      </c>
      <c r="R79" s="20" t="n">
        <v>3.57743721</v>
      </c>
    </row>
    <row r="80" spans="1:18">
      <c r="A80" s="15" t="s">
        <v>422</v>
      </c>
      <c r="B80" s="17" t="n">
        <v>3798</v>
      </c>
      <c r="C80" s="18">
        <f>(3190.0/B80*100)</f>
        <v/>
      </c>
      <c r="D80" s="19" t="n">
        <v>608</v>
      </c>
      <c r="E80" s="18" t="n">
        <v>45.02584652</v>
      </c>
      <c r="F80" s="20" t="n">
        <v>2.57256724</v>
      </c>
      <c r="G80" s="18" t="n">
        <v>54.72772644</v>
      </c>
      <c r="H80" s="20" t="n">
        <v>2.58502619</v>
      </c>
      <c r="I80" s="18" t="s">
        <v>349</v>
      </c>
      <c r="J80" s="20" t="s">
        <v>349</v>
      </c>
      <c r="K80" s="18" t="n">
        <v>0</v>
      </c>
      <c r="L80" s="20" t="n">
        <v>0</v>
      </c>
      <c r="M80" s="18" t="n">
        <v>0</v>
      </c>
      <c r="N80" s="20" t="n">
        <v>0</v>
      </c>
      <c r="O80" s="18" t="n">
        <v>0</v>
      </c>
      <c r="P80" s="20" t="n">
        <v>0</v>
      </c>
      <c r="Q80" s="18" t="n">
        <v>0.24642704</v>
      </c>
      <c r="R80" s="20" t="n">
        <v>0.16717162</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38.99338739</v>
      </c>
      <c r="F44" s="20" t="n">
        <v>2.24530558</v>
      </c>
      <c r="G44" s="18" t="n">
        <v>22.65888596</v>
      </c>
      <c r="H44" s="20" t="n">
        <v>2.8739259</v>
      </c>
      <c r="I44" s="18" t="s">
        <v>349</v>
      </c>
      <c r="J44" s="20" t="s">
        <v>349</v>
      </c>
      <c r="K44" s="18" t="n">
        <v>13.72723431</v>
      </c>
      <c r="L44" s="20" t="n">
        <v>2.08713479</v>
      </c>
      <c r="M44" s="18" t="n">
        <v>0</v>
      </c>
      <c r="N44" s="20" t="n">
        <v>0</v>
      </c>
      <c r="O44" s="18" t="n">
        <v>0</v>
      </c>
      <c r="P44" s="20" t="n">
        <v>0</v>
      </c>
      <c r="Q44" s="18" t="n">
        <v>24.62049234</v>
      </c>
      <c r="R44" s="20" t="n">
        <v>2.53339237</v>
      </c>
    </row>
    <row r="45" spans="1:18">
      <c r="A45" s="15" t="s">
        <v>387</v>
      </c>
      <c r="B45" s="17" t="n">
        <v>2849</v>
      </c>
      <c r="C45" s="18">
        <f>(2395.0/B45*100)</f>
        <v/>
      </c>
      <c r="D45" s="19" t="n">
        <v>454</v>
      </c>
      <c r="E45" s="18" t="n">
        <v>61.07666852</v>
      </c>
      <c r="F45" s="20" t="n">
        <v>2.6999818</v>
      </c>
      <c r="G45" s="18" t="n">
        <v>6.85729301</v>
      </c>
      <c r="H45" s="20" t="n">
        <v>1.44254772</v>
      </c>
      <c r="I45" s="18" t="s">
        <v>349</v>
      </c>
      <c r="J45" s="20" t="s">
        <v>349</v>
      </c>
      <c r="K45" s="18" t="n">
        <v>9.80012807</v>
      </c>
      <c r="L45" s="20" t="n">
        <v>1.59423885</v>
      </c>
      <c r="M45" s="18" t="n">
        <v>0</v>
      </c>
      <c r="N45" s="20" t="n">
        <v>0</v>
      </c>
      <c r="O45" s="18" t="n">
        <v>0.52591421</v>
      </c>
      <c r="P45" s="20" t="n">
        <v>0.30495074</v>
      </c>
      <c r="Q45" s="18" t="n">
        <v>21.73999619</v>
      </c>
      <c r="R45" s="20" t="n">
        <v>2.47159898</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60.7398988</v>
      </c>
      <c r="F49" s="20" t="n">
        <v>2.74591708</v>
      </c>
      <c r="G49" s="18" t="n">
        <v>15.6602986</v>
      </c>
      <c r="H49" s="20" t="n">
        <v>2.14821626</v>
      </c>
      <c r="I49" s="18" t="s">
        <v>349</v>
      </c>
      <c r="J49" s="20" t="s">
        <v>349</v>
      </c>
      <c r="K49" s="18" t="n">
        <v>4.20803436</v>
      </c>
      <c r="L49" s="20" t="n">
        <v>0.98293847</v>
      </c>
      <c r="M49" s="18" t="n">
        <v>0</v>
      </c>
      <c r="N49" s="20" t="n">
        <v>0</v>
      </c>
      <c r="O49" s="18" t="n">
        <v>0.31064726</v>
      </c>
      <c r="P49" s="20" t="n">
        <v>0.38146751</v>
      </c>
      <c r="Q49" s="18" t="n">
        <v>19.08112098</v>
      </c>
      <c r="R49" s="20" t="n">
        <v>2.48099684</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52.10940653</v>
      </c>
      <c r="F55" s="20" t="n">
        <v>2.29487098</v>
      </c>
      <c r="G55" s="18" t="n">
        <v>18.1429211</v>
      </c>
      <c r="H55" s="20" t="n">
        <v>1.74174849</v>
      </c>
      <c r="I55" s="18" t="s">
        <v>349</v>
      </c>
      <c r="J55" s="20" t="s">
        <v>349</v>
      </c>
      <c r="K55" s="18" t="n">
        <v>3.32465325</v>
      </c>
      <c r="L55" s="20" t="n">
        <v>0.86586413</v>
      </c>
      <c r="M55" s="18" t="n">
        <v>0</v>
      </c>
      <c r="N55" s="20" t="n">
        <v>0</v>
      </c>
      <c r="O55" s="18" t="n">
        <v>0</v>
      </c>
      <c r="P55" s="20" t="n">
        <v>0</v>
      </c>
      <c r="Q55" s="18" t="n">
        <v>26.42301912</v>
      </c>
      <c r="R55" s="20" t="n">
        <v>2.3798863</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(2649.0/B57*100)</f>
        <v/>
      </c>
      <c r="D57" s="19" t="n">
        <v>521</v>
      </c>
      <c r="E57" s="18" t="n">
        <v>77.07634087</v>
      </c>
      <c r="F57" s="20" t="n">
        <v>2.0974756</v>
      </c>
      <c r="G57" s="18" t="n">
        <v>11.5266776</v>
      </c>
      <c r="H57" s="20" t="n">
        <v>1.55064906</v>
      </c>
      <c r="I57" s="18" t="s">
        <v>349</v>
      </c>
      <c r="J57" s="20" t="s">
        <v>349</v>
      </c>
      <c r="K57" s="18" t="n">
        <v>0.89999112</v>
      </c>
      <c r="L57" s="20" t="n">
        <v>0.40043499</v>
      </c>
      <c r="M57" s="18" t="n">
        <v>0</v>
      </c>
      <c r="N57" s="20" t="n">
        <v>0</v>
      </c>
      <c r="O57" s="18" t="n">
        <v>0.02491478</v>
      </c>
      <c r="P57" s="20" t="n">
        <v>0.0253722</v>
      </c>
      <c r="Q57" s="18" t="n">
        <v>10.47207563</v>
      </c>
      <c r="R57" s="20" t="n">
        <v>1.89688761</v>
      </c>
    </row>
    <row r="58" spans="1:18">
      <c r="A58" s="15" t="s">
        <v>400</v>
      </c>
      <c r="B58" s="17" t="n">
        <v>3530</v>
      </c>
      <c r="C58" s="18">
        <f>(2930.0/B58*100)</f>
        <v/>
      </c>
      <c r="D58" s="19" t="n">
        <v>600</v>
      </c>
      <c r="E58" s="18" t="n">
        <v>76.0323521</v>
      </c>
      <c r="F58" s="20" t="n">
        <v>1.87012454</v>
      </c>
      <c r="G58" s="18" t="n">
        <v>8.42181952</v>
      </c>
      <c r="H58" s="20" t="n">
        <v>1.47096837</v>
      </c>
      <c r="I58" s="18" t="s">
        <v>349</v>
      </c>
      <c r="J58" s="20" t="s">
        <v>349</v>
      </c>
      <c r="K58" s="18" t="n">
        <v>5.51639247</v>
      </c>
      <c r="L58" s="20" t="n">
        <v>0.87897138</v>
      </c>
      <c r="M58" s="18" t="n">
        <v>0</v>
      </c>
      <c r="N58" s="20" t="n">
        <v>0</v>
      </c>
      <c r="O58" s="18" t="n">
        <v>0.02415923</v>
      </c>
      <c r="P58" s="20" t="n">
        <v>0.024114</v>
      </c>
      <c r="Q58" s="18" t="n">
        <v>10.00527669</v>
      </c>
      <c r="R58" s="20" t="n">
        <v>1.21044831</v>
      </c>
    </row>
    <row r="59" spans="1:18">
      <c r="A59" s="15" t="s">
        <v>401</v>
      </c>
      <c r="B59" s="17" t="n">
        <v>2548</v>
      </c>
      <c r="C59" s="18">
        <f>(2118.0/B59*100)</f>
        <v/>
      </c>
      <c r="D59" s="19" t="n">
        <v>430</v>
      </c>
      <c r="E59" s="18" t="n">
        <v>71.5237829</v>
      </c>
      <c r="F59" s="20" t="n">
        <v>2.53181715</v>
      </c>
      <c r="G59" s="18" t="n">
        <v>7.75334817</v>
      </c>
      <c r="H59" s="20" t="n">
        <v>1.74717872</v>
      </c>
      <c r="I59" s="18" t="s">
        <v>349</v>
      </c>
      <c r="J59" s="20" t="s">
        <v>349</v>
      </c>
      <c r="K59" s="18" t="n">
        <v>1.93185351</v>
      </c>
      <c r="L59" s="20" t="n">
        <v>0.84065989</v>
      </c>
      <c r="M59" s="18" t="n">
        <v>0</v>
      </c>
      <c r="N59" s="20" t="n">
        <v>0</v>
      </c>
      <c r="O59" s="18" t="n">
        <v>0</v>
      </c>
      <c r="P59" s="20" t="n">
        <v>0</v>
      </c>
      <c r="Q59" s="18" t="n">
        <v>18.79101543</v>
      </c>
      <c r="R59" s="20" t="n">
        <v>1.92999467</v>
      </c>
    </row>
    <row r="60" spans="1:18">
      <c r="A60" s="15" t="s">
        <v>402</v>
      </c>
      <c r="B60" s="17" t="n">
        <v>2095</v>
      </c>
      <c r="C60" s="18">
        <f>(1764.0/B60*100)</f>
        <v/>
      </c>
      <c r="D60" s="19" t="n">
        <v>331</v>
      </c>
      <c r="E60" s="18" t="n">
        <v>49.40912078</v>
      </c>
      <c r="F60" s="20" t="n">
        <v>2.73032777</v>
      </c>
      <c r="G60" s="18" t="n">
        <v>27.53138221</v>
      </c>
      <c r="H60" s="20" t="n">
        <v>2.70525501</v>
      </c>
      <c r="I60" s="18" t="s">
        <v>349</v>
      </c>
      <c r="J60" s="20" t="s">
        <v>349</v>
      </c>
      <c r="K60" s="18" t="n">
        <v>7.1563555</v>
      </c>
      <c r="L60" s="20" t="n">
        <v>1.38775513</v>
      </c>
      <c r="M60" s="18" t="n">
        <v>0</v>
      </c>
      <c r="N60" s="20" t="n">
        <v>0</v>
      </c>
      <c r="O60" s="18" t="n">
        <v>0.1443945</v>
      </c>
      <c r="P60" s="20" t="n">
        <v>0.14622532</v>
      </c>
      <c r="Q60" s="18" t="n">
        <v>15.75874702</v>
      </c>
      <c r="R60" s="20" t="n">
        <v>2.12272608</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43.32334378</v>
      </c>
      <c r="F63" s="20" t="n">
        <v>2.38516361</v>
      </c>
      <c r="G63" s="18" t="n">
        <v>13.24006236</v>
      </c>
      <c r="H63" s="20" t="n">
        <v>1.83419189</v>
      </c>
      <c r="I63" s="18" t="s">
        <v>349</v>
      </c>
      <c r="J63" s="20" t="s">
        <v>349</v>
      </c>
      <c r="K63" s="18" t="n">
        <v>5.09996535</v>
      </c>
      <c r="L63" s="20" t="n">
        <v>1.2045768</v>
      </c>
      <c r="M63" s="18" t="n">
        <v>0</v>
      </c>
      <c r="N63" s="20" t="n">
        <v>0</v>
      </c>
      <c r="O63" s="18" t="n">
        <v>0</v>
      </c>
      <c r="P63" s="20" t="n">
        <v>0</v>
      </c>
      <c r="Q63" s="18" t="n">
        <v>38.33662851</v>
      </c>
      <c r="R63" s="20" t="n">
        <v>2.50588243</v>
      </c>
    </row>
    <row r="64" spans="1:18">
      <c r="A64" s="15" t="s">
        <v>406</v>
      </c>
      <c r="B64" s="17" t="n">
        <v>1844</v>
      </c>
      <c r="C64" s="18">
        <f>(1531.0/B64*100)</f>
        <v/>
      </c>
      <c r="D64" s="19" t="n">
        <v>313</v>
      </c>
      <c r="E64" s="18" t="n">
        <v>42.08237071</v>
      </c>
      <c r="F64" s="20" t="n">
        <v>2.81180391</v>
      </c>
      <c r="G64" s="18" t="n">
        <v>45.95509662</v>
      </c>
      <c r="H64" s="20" t="n">
        <v>2.97148768</v>
      </c>
      <c r="I64" s="18" t="s">
        <v>349</v>
      </c>
      <c r="J64" s="20" t="s">
        <v>349</v>
      </c>
      <c r="K64" s="18" t="n">
        <v>1.94752277</v>
      </c>
      <c r="L64" s="20" t="n">
        <v>0.77194912</v>
      </c>
      <c r="M64" s="18" t="n">
        <v>0</v>
      </c>
      <c r="N64" s="20" t="n">
        <v>0</v>
      </c>
      <c r="O64" s="18" t="n">
        <v>0</v>
      </c>
      <c r="P64" s="20" t="n">
        <v>0</v>
      </c>
      <c r="Q64" s="18" t="n">
        <v>10.0150099</v>
      </c>
      <c r="R64" s="20" t="n">
        <v>1.73559299</v>
      </c>
    </row>
    <row r="65" spans="1:18">
      <c r="A65" s="15" t="s">
        <v>407</v>
      </c>
      <c r="B65" s="17" t="n">
        <v>2691</v>
      </c>
      <c r="C65" s="18">
        <f>(2226.0/B65*100)</f>
        <v/>
      </c>
      <c r="D65" s="19" t="n">
        <v>465</v>
      </c>
      <c r="E65" s="18" t="n">
        <v>51.51236923</v>
      </c>
      <c r="F65" s="20" t="n">
        <v>2.91177996</v>
      </c>
      <c r="G65" s="18" t="n">
        <v>17.89080649</v>
      </c>
      <c r="H65" s="20" t="n">
        <v>1.92065826</v>
      </c>
      <c r="I65" s="18" t="s">
        <v>349</v>
      </c>
      <c r="J65" s="20" t="s">
        <v>349</v>
      </c>
      <c r="K65" s="18" t="n">
        <v>11.32565515</v>
      </c>
      <c r="L65" s="20" t="n">
        <v>1.55977318</v>
      </c>
      <c r="M65" s="18" t="n">
        <v>0</v>
      </c>
      <c r="N65" s="20" t="n">
        <v>0</v>
      </c>
      <c r="O65" s="18" t="n">
        <v>0</v>
      </c>
      <c r="P65" s="20" t="n">
        <v>0</v>
      </c>
      <c r="Q65" s="18" t="n">
        <v>19.27116913</v>
      </c>
      <c r="R65" s="20" t="n">
        <v>2.05302343</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74.51221285</v>
      </c>
      <c r="F69" s="20" t="n">
        <v>2.34259232</v>
      </c>
      <c r="G69" s="18" t="n">
        <v>25.48778715</v>
      </c>
      <c r="H69" s="20" t="n">
        <v>2.34259232</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48.19639275</v>
      </c>
      <c r="F74" s="20" t="n">
        <v>2.52166329</v>
      </c>
      <c r="G74" s="18" t="n">
        <v>25.02735876</v>
      </c>
      <c r="H74" s="20" t="n">
        <v>2.50208064</v>
      </c>
      <c r="I74" s="18" t="s">
        <v>349</v>
      </c>
      <c r="J74" s="20" t="s">
        <v>349</v>
      </c>
      <c r="K74" s="18" t="n">
        <v>12.89279511</v>
      </c>
      <c r="L74" s="20" t="n">
        <v>1.98040934</v>
      </c>
      <c r="M74" s="18" t="n">
        <v>0</v>
      </c>
      <c r="N74" s="20" t="n">
        <v>0</v>
      </c>
      <c r="O74" s="18" t="n">
        <v>0</v>
      </c>
      <c r="P74" s="20" t="n">
        <v>0</v>
      </c>
      <c r="Q74" s="18" t="n">
        <v>13.88345337</v>
      </c>
      <c r="R74" s="20" t="n">
        <v>1.91427511</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62.34023204</v>
      </c>
      <c r="F78" s="20" t="n">
        <v>2.56557997</v>
      </c>
      <c r="G78" s="18" t="n">
        <v>35.99937303</v>
      </c>
      <c r="H78" s="20" t="n">
        <v>2.6086982</v>
      </c>
      <c r="I78" s="18" t="s">
        <v>349</v>
      </c>
      <c r="J78" s="20" t="s">
        <v>349</v>
      </c>
      <c r="K78" s="18" t="n">
        <v>0</v>
      </c>
      <c r="L78" s="20" t="n">
        <v>0</v>
      </c>
      <c r="M78" s="18" t="n">
        <v>0</v>
      </c>
      <c r="N78" s="20" t="n">
        <v>0</v>
      </c>
      <c r="O78" s="18" t="n">
        <v>0</v>
      </c>
      <c r="P78" s="20" t="n">
        <v>0</v>
      </c>
      <c r="Q78" s="18" t="n">
        <v>1.66039494</v>
      </c>
      <c r="R78" s="20" t="n">
        <v>0.69579672</v>
      </c>
    </row>
    <row customHeight="1" ht="25" r="79" spans="1:18">
      <c r="A79" s="15" t="s">
        <v>421</v>
      </c>
      <c r="B79" s="17" t="n">
        <v>787</v>
      </c>
      <c r="C79" s="18">
        <f>(655.0/B79*100)</f>
        <v/>
      </c>
      <c r="D79" s="19" t="n">
        <v>132</v>
      </c>
      <c r="E79" s="18" t="n">
        <v>48.62057878</v>
      </c>
      <c r="F79" s="20" t="n">
        <v>4.52834668</v>
      </c>
      <c r="G79" s="18" t="n">
        <v>28.56305014</v>
      </c>
      <c r="H79" s="20" t="n">
        <v>4.2720468</v>
      </c>
      <c r="I79" s="18" t="s">
        <v>349</v>
      </c>
      <c r="J79" s="20" t="s">
        <v>349</v>
      </c>
      <c r="K79" s="18" t="n">
        <v>6.83485717</v>
      </c>
      <c r="L79" s="20" t="n">
        <v>2.39314337</v>
      </c>
      <c r="M79" s="18" t="n">
        <v>0</v>
      </c>
      <c r="N79" s="20" t="n">
        <v>0</v>
      </c>
      <c r="O79" s="18" t="n">
        <v>0</v>
      </c>
      <c r="P79" s="20" t="n">
        <v>0</v>
      </c>
      <c r="Q79" s="18" t="n">
        <v>15.98151392</v>
      </c>
      <c r="R79" s="20" t="n">
        <v>3.01279401</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49.86042666</v>
      </c>
      <c r="F44" s="20" t="n">
        <v>2.86176146</v>
      </c>
      <c r="G44" s="18" t="n">
        <v>19.64914081</v>
      </c>
      <c r="H44" s="20" t="n">
        <v>2.50264631</v>
      </c>
      <c r="I44" s="18" t="s">
        <v>349</v>
      </c>
      <c r="J44" s="20" t="s">
        <v>349</v>
      </c>
      <c r="K44" s="18" t="n">
        <v>14.41801944</v>
      </c>
      <c r="L44" s="20" t="n">
        <v>2.09827215</v>
      </c>
      <c r="M44" s="18" t="n">
        <v>0</v>
      </c>
      <c r="N44" s="20" t="n">
        <v>0</v>
      </c>
      <c r="O44" s="18" t="n">
        <v>0.6765667</v>
      </c>
      <c r="P44" s="20" t="n">
        <v>0.34754987</v>
      </c>
      <c r="Q44" s="18" t="n">
        <v>15.39584639</v>
      </c>
      <c r="R44" s="20" t="n">
        <v>2.22086027</v>
      </c>
    </row>
    <row r="45" spans="1:18">
      <c r="A45" s="15" t="s">
        <v>387</v>
      </c>
      <c r="B45" s="17" t="n">
        <v>2849</v>
      </c>
      <c r="C45" s="18">
        <f>(2395.0/B45*100)</f>
        <v/>
      </c>
      <c r="D45" s="19" t="n">
        <v>454</v>
      </c>
      <c r="E45" s="18" t="n">
        <v>53.66481579</v>
      </c>
      <c r="F45" s="20" t="n">
        <v>2.85277729</v>
      </c>
      <c r="G45" s="18" t="n">
        <v>15.27589783</v>
      </c>
      <c r="H45" s="20" t="n">
        <v>1.46792425</v>
      </c>
      <c r="I45" s="18" t="s">
        <v>349</v>
      </c>
      <c r="J45" s="20" t="s">
        <v>349</v>
      </c>
      <c r="K45" s="18" t="n">
        <v>9.80012807</v>
      </c>
      <c r="L45" s="20" t="n">
        <v>1.59423885</v>
      </c>
      <c r="M45" s="18" t="n">
        <v>0</v>
      </c>
      <c r="N45" s="20" t="n">
        <v>0</v>
      </c>
      <c r="O45" s="18" t="n">
        <v>3.05309922</v>
      </c>
      <c r="P45" s="20" t="n">
        <v>1.15724149</v>
      </c>
      <c r="Q45" s="18" t="n">
        <v>18.2060591</v>
      </c>
      <c r="R45" s="20" t="n">
        <v>2.35794751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54.70851853</v>
      </c>
      <c r="F49" s="20" t="n">
        <v>2.72809395</v>
      </c>
      <c r="G49" s="18" t="n">
        <v>29.4878816</v>
      </c>
      <c r="H49" s="20" t="n">
        <v>2.16650033</v>
      </c>
      <c r="I49" s="18" t="s">
        <v>349</v>
      </c>
      <c r="J49" s="20" t="s">
        <v>349</v>
      </c>
      <c r="K49" s="18" t="n">
        <v>4.88699795</v>
      </c>
      <c r="L49" s="20" t="n">
        <v>1.16536007</v>
      </c>
      <c r="M49" s="18" t="n">
        <v>0</v>
      </c>
      <c r="N49" s="20" t="n">
        <v>0</v>
      </c>
      <c r="O49" s="18" t="n">
        <v>1.05323061</v>
      </c>
      <c r="P49" s="20" t="n">
        <v>0.53582808</v>
      </c>
      <c r="Q49" s="18" t="n">
        <v>9.86337131</v>
      </c>
      <c r="R49" s="20" t="n">
        <v>1.65491002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53.80579338</v>
      </c>
      <c r="F55" s="20" t="n">
        <v>2.38512425</v>
      </c>
      <c r="G55" s="18" t="n">
        <v>32.17992414</v>
      </c>
      <c r="H55" s="20" t="n">
        <v>2.47678649</v>
      </c>
      <c r="I55" s="18" t="s">
        <v>349</v>
      </c>
      <c r="J55" s="20" t="s">
        <v>349</v>
      </c>
      <c r="K55" s="18" t="n">
        <v>4.18345854</v>
      </c>
      <c r="L55" s="20" t="n">
        <v>0.97910148</v>
      </c>
      <c r="M55" s="18" t="n">
        <v>0</v>
      </c>
      <c r="N55" s="20" t="n">
        <v>0</v>
      </c>
      <c r="O55" s="18" t="n">
        <v>0.60108673</v>
      </c>
      <c r="P55" s="20" t="n">
        <v>0.337217</v>
      </c>
      <c r="Q55" s="18" t="n">
        <v>9.22973721</v>
      </c>
      <c r="R55" s="20" t="n">
        <v>1.3484678</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(2649.0/B57*100)</f>
        <v/>
      </c>
      <c r="D57" s="19" t="n">
        <v>521</v>
      </c>
      <c r="E57" s="18" t="n">
        <v>55.76926423</v>
      </c>
      <c r="F57" s="20" t="n">
        <v>2.84546539</v>
      </c>
      <c r="G57" s="18" t="n">
        <v>35.97465957</v>
      </c>
      <c r="H57" s="20" t="n">
        <v>2.63595191</v>
      </c>
      <c r="I57" s="18" t="s">
        <v>349</v>
      </c>
      <c r="J57" s="20" t="s">
        <v>349</v>
      </c>
      <c r="K57" s="18" t="n">
        <v>0.89999112</v>
      </c>
      <c r="L57" s="20" t="n">
        <v>0.40043499</v>
      </c>
      <c r="M57" s="18" t="n">
        <v>0</v>
      </c>
      <c r="N57" s="20" t="n">
        <v>0</v>
      </c>
      <c r="O57" s="18" t="n">
        <v>0.22758926</v>
      </c>
      <c r="P57" s="20" t="n">
        <v>0.22754339</v>
      </c>
      <c r="Q57" s="18" t="n">
        <v>7.12849583</v>
      </c>
      <c r="R57" s="20" t="n">
        <v>1.53021554</v>
      </c>
    </row>
    <row r="58" spans="1:18">
      <c r="A58" s="15" t="s">
        <v>400</v>
      </c>
      <c r="B58" s="17" t="n">
        <v>3530</v>
      </c>
      <c r="C58" s="18">
        <f>(2930.0/B58*100)</f>
        <v/>
      </c>
      <c r="D58" s="19" t="n">
        <v>600</v>
      </c>
      <c r="E58" s="18" t="n">
        <v>60.13284982</v>
      </c>
      <c r="F58" s="20" t="n">
        <v>2.15162997</v>
      </c>
      <c r="G58" s="18" t="n">
        <v>24.41205605</v>
      </c>
      <c r="H58" s="20" t="n">
        <v>1.92438593</v>
      </c>
      <c r="I58" s="18" t="s">
        <v>349</v>
      </c>
      <c r="J58" s="20" t="s">
        <v>349</v>
      </c>
      <c r="K58" s="18" t="n">
        <v>6.38098038</v>
      </c>
      <c r="L58" s="20" t="n">
        <v>0.97735855</v>
      </c>
      <c r="M58" s="18" t="n">
        <v>0</v>
      </c>
      <c r="N58" s="20" t="n">
        <v>0</v>
      </c>
      <c r="O58" s="18" t="n">
        <v>0.69224725</v>
      </c>
      <c r="P58" s="20" t="n">
        <v>0.36883937</v>
      </c>
      <c r="Q58" s="18" t="n">
        <v>8.38186649</v>
      </c>
      <c r="R58" s="20" t="n">
        <v>1.24498791</v>
      </c>
    </row>
    <row r="59" spans="1:18">
      <c r="A59" s="15" t="s">
        <v>401</v>
      </c>
      <c r="B59" s="17" t="n">
        <v>2548</v>
      </c>
      <c r="C59" s="18">
        <f>(2118.0/B59*100)</f>
        <v/>
      </c>
      <c r="D59" s="19" t="n">
        <v>430</v>
      </c>
      <c r="E59" s="18" t="n">
        <v>70.16097743</v>
      </c>
      <c r="F59" s="20" t="n">
        <v>2.38332847</v>
      </c>
      <c r="G59" s="18" t="n">
        <v>19.81844602</v>
      </c>
      <c r="H59" s="20" t="n">
        <v>2.22417568</v>
      </c>
      <c r="I59" s="18" t="s">
        <v>349</v>
      </c>
      <c r="J59" s="20" t="s">
        <v>349</v>
      </c>
      <c r="K59" s="18" t="n">
        <v>2.02078719</v>
      </c>
      <c r="L59" s="20" t="n">
        <v>0.84537262</v>
      </c>
      <c r="M59" s="18" t="n">
        <v>0.18927187</v>
      </c>
      <c r="N59" s="20" t="n">
        <v>0.19051808</v>
      </c>
      <c r="O59" s="18" t="n">
        <v>2.24186956</v>
      </c>
      <c r="P59" s="20" t="n">
        <v>0.8228706099999999</v>
      </c>
      <c r="Q59" s="18" t="n">
        <v>5.56864794</v>
      </c>
      <c r="R59" s="20" t="n">
        <v>0.9764013</v>
      </c>
    </row>
    <row r="60" spans="1:18">
      <c r="A60" s="15" t="s">
        <v>402</v>
      </c>
      <c r="B60" s="17" t="n">
        <v>2095</v>
      </c>
      <c r="C60" s="18">
        <f>(1764.0/B60*100)</f>
        <v/>
      </c>
      <c r="D60" s="19" t="n">
        <v>331</v>
      </c>
      <c r="E60" s="18" t="n">
        <v>57.03703834</v>
      </c>
      <c r="F60" s="20" t="n">
        <v>2.88829922</v>
      </c>
      <c r="G60" s="18" t="n">
        <v>15.59191057</v>
      </c>
      <c r="H60" s="20" t="n">
        <v>1.96795273</v>
      </c>
      <c r="I60" s="18" t="s">
        <v>349</v>
      </c>
      <c r="J60" s="20" t="s">
        <v>349</v>
      </c>
      <c r="K60" s="18" t="n">
        <v>8.782059090000001</v>
      </c>
      <c r="L60" s="20" t="n">
        <v>1.53955193</v>
      </c>
      <c r="M60" s="18" t="n">
        <v>0</v>
      </c>
      <c r="N60" s="20" t="n">
        <v>0</v>
      </c>
      <c r="O60" s="18" t="n">
        <v>2.80352895</v>
      </c>
      <c r="P60" s="20" t="n">
        <v>0.97511978</v>
      </c>
      <c r="Q60" s="18" t="n">
        <v>15.78546305</v>
      </c>
      <c r="R60" s="20" t="n">
        <v>2.43928662</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61.15267415</v>
      </c>
      <c r="F63" s="20" t="n">
        <v>2.99308384</v>
      </c>
      <c r="G63" s="18" t="n">
        <v>19.96045502</v>
      </c>
      <c r="H63" s="20" t="n">
        <v>2.00087915</v>
      </c>
      <c r="I63" s="18" t="s">
        <v>349</v>
      </c>
      <c r="J63" s="20" t="s">
        <v>349</v>
      </c>
      <c r="K63" s="18" t="n">
        <v>5.31983355</v>
      </c>
      <c r="L63" s="20" t="n">
        <v>1.23938367</v>
      </c>
      <c r="M63" s="18" t="n">
        <v>0</v>
      </c>
      <c r="N63" s="20" t="n">
        <v>0</v>
      </c>
      <c r="O63" s="18" t="n">
        <v>0.72693238</v>
      </c>
      <c r="P63" s="20" t="n">
        <v>0.53588983</v>
      </c>
      <c r="Q63" s="18" t="n">
        <v>12.84010489</v>
      </c>
      <c r="R63" s="20" t="n">
        <v>1.83482022</v>
      </c>
    </row>
    <row r="64" spans="1:18">
      <c r="A64" s="15" t="s">
        <v>406</v>
      </c>
      <c r="B64" s="17" t="n">
        <v>1844</v>
      </c>
      <c r="C64" s="18">
        <f>(1531.0/B64*100)</f>
        <v/>
      </c>
      <c r="D64" s="19" t="n">
        <v>313</v>
      </c>
      <c r="E64" s="18" t="n">
        <v>49.97221701</v>
      </c>
      <c r="F64" s="20" t="n">
        <v>2.87562447</v>
      </c>
      <c r="G64" s="18" t="n">
        <v>35.75375301</v>
      </c>
      <c r="H64" s="20" t="n">
        <v>2.58866857</v>
      </c>
      <c r="I64" s="18" t="s">
        <v>349</v>
      </c>
      <c r="J64" s="20" t="s">
        <v>349</v>
      </c>
      <c r="K64" s="18" t="n">
        <v>2.28974086</v>
      </c>
      <c r="L64" s="20" t="n">
        <v>0.83869505</v>
      </c>
      <c r="M64" s="18" t="n">
        <v>0</v>
      </c>
      <c r="N64" s="20" t="n">
        <v>0</v>
      </c>
      <c r="O64" s="18" t="n">
        <v>2.01352505</v>
      </c>
      <c r="P64" s="20" t="n">
        <v>0.82322745</v>
      </c>
      <c r="Q64" s="18" t="n">
        <v>9.97076407</v>
      </c>
      <c r="R64" s="20" t="n">
        <v>1.68868885</v>
      </c>
    </row>
    <row r="65" spans="1:18">
      <c r="A65" s="15" t="s">
        <v>407</v>
      </c>
      <c r="B65" s="17" t="n">
        <v>2691</v>
      </c>
      <c r="C65" s="18">
        <f>(2226.0/B65*100)</f>
        <v/>
      </c>
      <c r="D65" s="19" t="n">
        <v>465</v>
      </c>
      <c r="E65" s="18" t="n">
        <v>53.97682966</v>
      </c>
      <c r="F65" s="20" t="n">
        <v>2.81442131</v>
      </c>
      <c r="G65" s="18" t="n">
        <v>20.98112656</v>
      </c>
      <c r="H65" s="20" t="n">
        <v>2.24401963</v>
      </c>
      <c r="I65" s="18" t="s">
        <v>349</v>
      </c>
      <c r="J65" s="20" t="s">
        <v>349</v>
      </c>
      <c r="K65" s="18" t="n">
        <v>12.54078619</v>
      </c>
      <c r="L65" s="20" t="n">
        <v>1.634744</v>
      </c>
      <c r="M65" s="18" t="n">
        <v>2.52648189</v>
      </c>
      <c r="N65" s="20" t="n">
        <v>0.78353568</v>
      </c>
      <c r="O65" s="18" t="n">
        <v>0</v>
      </c>
      <c r="P65" s="20" t="n">
        <v>0</v>
      </c>
      <c r="Q65" s="18" t="n">
        <v>9.97477569</v>
      </c>
      <c r="R65" s="20" t="n">
        <v>1.47931913</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67.71601196</v>
      </c>
      <c r="F69" s="20" t="n">
        <v>2.61434822</v>
      </c>
      <c r="G69" s="18" t="n">
        <v>30.1418987</v>
      </c>
      <c r="H69" s="20" t="n">
        <v>2.47314518</v>
      </c>
      <c r="I69" s="18" t="s">
        <v>349</v>
      </c>
      <c r="J69" s="20" t="s">
        <v>349</v>
      </c>
      <c r="K69" s="18" t="n">
        <v>0</v>
      </c>
      <c r="L69" s="20" t="n">
        <v>0</v>
      </c>
      <c r="M69" s="18" t="n">
        <v>0</v>
      </c>
      <c r="N69" s="20" t="n">
        <v>0</v>
      </c>
      <c r="O69" s="18" t="n">
        <v>0</v>
      </c>
      <c r="P69" s="20" t="n">
        <v>0</v>
      </c>
      <c r="Q69" s="18" t="n">
        <v>2.14208933</v>
      </c>
      <c r="R69" s="20" t="n">
        <v>0.75716933</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52.67665278</v>
      </c>
      <c r="F74" s="20" t="n">
        <v>2.69607985</v>
      </c>
      <c r="G74" s="18" t="n">
        <v>21.19497439</v>
      </c>
      <c r="H74" s="20" t="n">
        <v>2.16756859</v>
      </c>
      <c r="I74" s="18" t="s">
        <v>349</v>
      </c>
      <c r="J74" s="20" t="s">
        <v>349</v>
      </c>
      <c r="K74" s="18" t="n">
        <v>13.13727574</v>
      </c>
      <c r="L74" s="20" t="n">
        <v>1.98689151</v>
      </c>
      <c r="M74" s="18" t="n">
        <v>0</v>
      </c>
      <c r="N74" s="20" t="n">
        <v>0</v>
      </c>
      <c r="O74" s="18" t="n">
        <v>0</v>
      </c>
      <c r="P74" s="20" t="n">
        <v>0</v>
      </c>
      <c r="Q74" s="18" t="n">
        <v>12.99109709</v>
      </c>
      <c r="R74" s="20" t="n">
        <v>1.83682045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15.38095217</v>
      </c>
      <c r="F78" s="20" t="n">
        <v>2.24111851</v>
      </c>
      <c r="G78" s="18" t="n">
        <v>84.61904783</v>
      </c>
      <c r="H78" s="20" t="n">
        <v>2.24111851</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(655.0/B79*100)</f>
        <v/>
      </c>
      <c r="D79" s="19" t="n">
        <v>132</v>
      </c>
      <c r="E79" s="18" t="n">
        <v>44.09080317</v>
      </c>
      <c r="F79" s="20" t="n">
        <v>4.72396612</v>
      </c>
      <c r="G79" s="18" t="n">
        <v>38.39456323</v>
      </c>
      <c r="H79" s="20" t="n">
        <v>4.45971889</v>
      </c>
      <c r="I79" s="18" t="s">
        <v>349</v>
      </c>
      <c r="J79" s="20" t="s">
        <v>349</v>
      </c>
      <c r="K79" s="18" t="n">
        <v>6.83485717</v>
      </c>
      <c r="L79" s="20" t="n">
        <v>2.39314337</v>
      </c>
      <c r="M79" s="18" t="n">
        <v>0</v>
      </c>
      <c r="N79" s="20" t="n">
        <v>0</v>
      </c>
      <c r="O79" s="18" t="n">
        <v>0</v>
      </c>
      <c r="P79" s="20" t="n">
        <v>0</v>
      </c>
      <c r="Q79" s="18" t="n">
        <v>10.67977643</v>
      </c>
      <c r="R79" s="20" t="n">
        <v>3.214142</v>
      </c>
    </row>
    <row r="80" spans="1:18">
      <c r="A80" s="15" t="s">
        <v>422</v>
      </c>
      <c r="B80" s="17" t="n">
        <v>3798</v>
      </c>
      <c r="C80" s="18">
        <f>(3190.0/B80*100)</f>
        <v/>
      </c>
      <c r="D80" s="19" t="n">
        <v>608</v>
      </c>
      <c r="E80" s="18" t="n">
        <v>70.16949479</v>
      </c>
      <c r="F80" s="20" t="n">
        <v>2.46662838</v>
      </c>
      <c r="G80" s="18" t="n">
        <v>28.60942717</v>
      </c>
      <c r="H80" s="20" t="n">
        <v>2.4165622</v>
      </c>
      <c r="I80" s="18" t="s">
        <v>349</v>
      </c>
      <c r="J80" s="20" t="s">
        <v>349</v>
      </c>
      <c r="K80" s="18" t="n">
        <v>0</v>
      </c>
      <c r="L80" s="20" t="n">
        <v>0</v>
      </c>
      <c r="M80" s="18" t="n">
        <v>0</v>
      </c>
      <c r="N80" s="20" t="n">
        <v>0</v>
      </c>
      <c r="O80" s="18" t="n">
        <v>0</v>
      </c>
      <c r="P80" s="20" t="n">
        <v>0</v>
      </c>
      <c r="Q80" s="18" t="n">
        <v>1.22107804</v>
      </c>
      <c r="R80" s="20" t="n">
        <v>0.50797883</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56.80787143</v>
      </c>
      <c r="F44" s="20" t="n">
        <v>3.08042884</v>
      </c>
      <c r="G44" s="18" t="n">
        <v>8.50245278</v>
      </c>
      <c r="H44" s="20" t="n">
        <v>2.06415571</v>
      </c>
      <c r="I44" s="18" t="s">
        <v>349</v>
      </c>
      <c r="J44" s="20" t="s">
        <v>349</v>
      </c>
      <c r="K44" s="18" t="n">
        <v>21.44324258</v>
      </c>
      <c r="L44" s="20" t="n">
        <v>2.36334872</v>
      </c>
      <c r="M44" s="18" t="n">
        <v>0</v>
      </c>
      <c r="N44" s="20" t="n">
        <v>0</v>
      </c>
      <c r="O44" s="18" t="n">
        <v>0.97570844</v>
      </c>
      <c r="P44" s="20" t="n">
        <v>0.55486051</v>
      </c>
      <c r="Q44" s="18" t="n">
        <v>12.27072477</v>
      </c>
      <c r="R44" s="20" t="n">
        <v>2.03989654</v>
      </c>
    </row>
    <row r="45" spans="1:18">
      <c r="A45" s="15" t="s">
        <v>387</v>
      </c>
      <c r="B45" s="17" t="n">
        <v>2849</v>
      </c>
      <c r="C45" s="18">
        <f>(2395.0/B45*100)</f>
        <v/>
      </c>
      <c r="D45" s="19" t="n">
        <v>454</v>
      </c>
      <c r="E45" s="18" t="n">
        <v>72.88802832</v>
      </c>
      <c r="F45" s="20" t="n">
        <v>2.28538374</v>
      </c>
      <c r="G45" s="18" t="n">
        <v>1.65806228</v>
      </c>
      <c r="H45" s="20" t="n">
        <v>0.46463708</v>
      </c>
      <c r="I45" s="18" t="s">
        <v>349</v>
      </c>
      <c r="J45" s="20" t="s">
        <v>349</v>
      </c>
      <c r="K45" s="18" t="n">
        <v>13.22262369</v>
      </c>
      <c r="L45" s="20" t="n">
        <v>1.7389862</v>
      </c>
      <c r="M45" s="18" t="n">
        <v>1.28097127</v>
      </c>
      <c r="N45" s="20" t="n">
        <v>0.95389324</v>
      </c>
      <c r="O45" s="18" t="n">
        <v>2.53772229</v>
      </c>
      <c r="P45" s="20" t="n">
        <v>0.83328301</v>
      </c>
      <c r="Q45" s="18" t="n">
        <v>8.412592160000001</v>
      </c>
      <c r="R45" s="20" t="n">
        <v>1.48047224</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71.74848110000001</v>
      </c>
      <c r="F49" s="20" t="n">
        <v>1.9943578</v>
      </c>
      <c r="G49" s="18" t="n">
        <v>7.98802872</v>
      </c>
      <c r="H49" s="20" t="n">
        <v>1.31128793</v>
      </c>
      <c r="I49" s="18" t="s">
        <v>349</v>
      </c>
      <c r="J49" s="20" t="s">
        <v>349</v>
      </c>
      <c r="K49" s="18" t="n">
        <v>8.53328179</v>
      </c>
      <c r="L49" s="20" t="n">
        <v>1.4837979</v>
      </c>
      <c r="M49" s="18" t="n">
        <v>0</v>
      </c>
      <c r="N49" s="20" t="n">
        <v>0</v>
      </c>
      <c r="O49" s="18" t="n">
        <v>2.82054925</v>
      </c>
      <c r="P49" s="20" t="n">
        <v>0.88893314</v>
      </c>
      <c r="Q49" s="18" t="n">
        <v>8.90965915</v>
      </c>
      <c r="R49" s="20" t="n">
        <v>1.26288492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67.73739528</v>
      </c>
      <c r="F55" s="20" t="n">
        <v>2.46546134</v>
      </c>
      <c r="G55" s="18" t="n">
        <v>5.73171715</v>
      </c>
      <c r="H55" s="20" t="n">
        <v>1.31049613</v>
      </c>
      <c r="I55" s="18" t="s">
        <v>349</v>
      </c>
      <c r="J55" s="20" t="s">
        <v>349</v>
      </c>
      <c r="K55" s="18" t="n">
        <v>13.63375549</v>
      </c>
      <c r="L55" s="20" t="n">
        <v>1.61795606</v>
      </c>
      <c r="M55" s="18" t="n">
        <v>0</v>
      </c>
      <c r="N55" s="20" t="n">
        <v>0</v>
      </c>
      <c r="O55" s="18" t="n">
        <v>4.8425139</v>
      </c>
      <c r="P55" s="20" t="n">
        <v>1.1027071</v>
      </c>
      <c r="Q55" s="18" t="n">
        <v>8.05461818</v>
      </c>
      <c r="R55" s="20" t="n">
        <v>1.23040311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(2930.0/B58*100)</f>
        <v/>
      </c>
      <c r="D58" s="19" t="n">
        <v>600</v>
      </c>
      <c r="E58" s="18" t="n">
        <v>74.33105243999999</v>
      </c>
      <c r="F58" s="20" t="n">
        <v>2.18996314</v>
      </c>
      <c r="G58" s="18" t="n">
        <v>7.46706539</v>
      </c>
      <c r="H58" s="20" t="n">
        <v>1.31887601</v>
      </c>
      <c r="I58" s="18" t="s">
        <v>349</v>
      </c>
      <c r="J58" s="20" t="s">
        <v>349</v>
      </c>
      <c r="K58" s="18" t="n">
        <v>8.178406669999999</v>
      </c>
      <c r="L58" s="20" t="n">
        <v>1.16970085</v>
      </c>
      <c r="M58" s="18" t="n">
        <v>0</v>
      </c>
      <c r="N58" s="20" t="n">
        <v>0</v>
      </c>
      <c r="O58" s="18" t="n">
        <v>5.74037696</v>
      </c>
      <c r="P58" s="20" t="n">
        <v>1.13238865</v>
      </c>
      <c r="Q58" s="18" t="n">
        <v>4.28309853</v>
      </c>
      <c r="R58" s="20" t="n">
        <v>0.75170014</v>
      </c>
    </row>
    <row r="59" spans="1:18">
      <c r="A59" s="15" t="s">
        <v>401</v>
      </c>
      <c r="B59" s="17" t="n">
        <v>2548</v>
      </c>
      <c r="C59" s="18">
        <f>(2118.0/B59*100)</f>
        <v/>
      </c>
      <c r="D59" s="19" t="n">
        <v>430</v>
      </c>
      <c r="E59" s="18" t="n">
        <v>81.22944879000001</v>
      </c>
      <c r="F59" s="20" t="n">
        <v>2.17023865</v>
      </c>
      <c r="G59" s="18" t="n">
        <v>2.25681456</v>
      </c>
      <c r="H59" s="20" t="n">
        <v>1.08668732</v>
      </c>
      <c r="I59" s="18" t="s">
        <v>349</v>
      </c>
      <c r="J59" s="20" t="s">
        <v>349</v>
      </c>
      <c r="K59" s="18" t="n">
        <v>5.96883431</v>
      </c>
      <c r="L59" s="20" t="n">
        <v>1.33154588</v>
      </c>
      <c r="M59" s="18" t="n">
        <v>0.8727246400000001</v>
      </c>
      <c r="N59" s="20" t="n">
        <v>0.42905519</v>
      </c>
      <c r="O59" s="18" t="n">
        <v>2.10901812</v>
      </c>
      <c r="P59" s="20" t="n">
        <v>0.56341265</v>
      </c>
      <c r="Q59" s="18" t="n">
        <v>7.56315958</v>
      </c>
      <c r="R59" s="20" t="n">
        <v>1.31727707</v>
      </c>
    </row>
    <row r="60" spans="1:18">
      <c r="A60" s="15" t="s">
        <v>402</v>
      </c>
      <c r="B60" s="17" t="n">
        <v>2095</v>
      </c>
      <c r="C60" s="18">
        <f>(1764.0/B60*100)</f>
        <v/>
      </c>
      <c r="D60" s="19" t="n">
        <v>331</v>
      </c>
      <c r="E60" s="18" t="n">
        <v>58.14732943</v>
      </c>
      <c r="F60" s="20" t="n">
        <v>2.8505221</v>
      </c>
      <c r="G60" s="18" t="n">
        <v>9.88620996</v>
      </c>
      <c r="H60" s="20" t="n">
        <v>1.70807453</v>
      </c>
      <c r="I60" s="18" t="s">
        <v>349</v>
      </c>
      <c r="J60" s="20" t="s">
        <v>349</v>
      </c>
      <c r="K60" s="18" t="n">
        <v>12.48215243</v>
      </c>
      <c r="L60" s="20" t="n">
        <v>1.9187223</v>
      </c>
      <c r="M60" s="18" t="n">
        <v>0</v>
      </c>
      <c r="N60" s="20" t="n">
        <v>0</v>
      </c>
      <c r="O60" s="18" t="n">
        <v>3.75462962</v>
      </c>
      <c r="P60" s="20" t="n">
        <v>1.01808292</v>
      </c>
      <c r="Q60" s="18" t="n">
        <v>15.72967855</v>
      </c>
      <c r="R60" s="20" t="n">
        <v>1.96044329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65.7978985</v>
      </c>
      <c r="F63" s="20" t="n">
        <v>2.45451593</v>
      </c>
      <c r="G63" s="18" t="n">
        <v>7.53187237</v>
      </c>
      <c r="H63" s="20" t="n">
        <v>1.38235384</v>
      </c>
      <c r="I63" s="18" t="s">
        <v>349</v>
      </c>
      <c r="J63" s="20" t="s">
        <v>349</v>
      </c>
      <c r="K63" s="18" t="n">
        <v>13.19136252</v>
      </c>
      <c r="L63" s="20" t="n">
        <v>1.63351463</v>
      </c>
      <c r="M63" s="18" t="n">
        <v>0</v>
      </c>
      <c r="N63" s="20" t="n">
        <v>0</v>
      </c>
      <c r="O63" s="18" t="n">
        <v>1.633803</v>
      </c>
      <c r="P63" s="20" t="n">
        <v>0.65912587</v>
      </c>
      <c r="Q63" s="18" t="n">
        <v>11.84506362</v>
      </c>
      <c r="R63" s="20" t="n">
        <v>1.68902155</v>
      </c>
    </row>
    <row r="64" spans="1:18">
      <c r="A64" s="15" t="s">
        <v>406</v>
      </c>
      <c r="B64" s="17" t="n">
        <v>1844</v>
      </c>
      <c r="C64" s="18">
        <f>(1531.0/B64*100)</f>
        <v/>
      </c>
      <c r="D64" s="19" t="n">
        <v>313</v>
      </c>
      <c r="E64" s="18" t="n">
        <v>61.08713743</v>
      </c>
      <c r="F64" s="20" t="n">
        <v>2.7900361</v>
      </c>
      <c r="G64" s="18" t="n">
        <v>23.57750379</v>
      </c>
      <c r="H64" s="20" t="n">
        <v>2.06658085</v>
      </c>
      <c r="I64" s="18" t="s">
        <v>349</v>
      </c>
      <c r="J64" s="20" t="s">
        <v>349</v>
      </c>
      <c r="K64" s="18" t="n">
        <v>3.73168625</v>
      </c>
      <c r="L64" s="20" t="n">
        <v>1.12232143</v>
      </c>
      <c r="M64" s="18" t="n">
        <v>0.30798551</v>
      </c>
      <c r="N64" s="20" t="n">
        <v>0.30758891</v>
      </c>
      <c r="O64" s="18" t="n">
        <v>3.02179927</v>
      </c>
      <c r="P64" s="20" t="n">
        <v>1.02282586</v>
      </c>
      <c r="Q64" s="18" t="n">
        <v>8.273887759999999</v>
      </c>
      <c r="R64" s="20" t="n">
        <v>1.49998292</v>
      </c>
    </row>
    <row r="65" spans="1:18">
      <c r="A65" s="15" t="s">
        <v>407</v>
      </c>
      <c r="B65" s="17" t="n">
        <v>2691</v>
      </c>
      <c r="C65" s="18">
        <f>(2226.0/B65*100)</f>
        <v/>
      </c>
      <c r="D65" s="19" t="n">
        <v>465</v>
      </c>
      <c r="E65" s="18" t="n">
        <v>56.94051451</v>
      </c>
      <c r="F65" s="20" t="n">
        <v>2.60118529</v>
      </c>
      <c r="G65" s="18" t="n">
        <v>8.376160820000001</v>
      </c>
      <c r="H65" s="20" t="n">
        <v>1.41206248</v>
      </c>
      <c r="I65" s="18" t="s">
        <v>349</v>
      </c>
      <c r="J65" s="20" t="s">
        <v>349</v>
      </c>
      <c r="K65" s="18" t="n">
        <v>19.00340787</v>
      </c>
      <c r="L65" s="20" t="n">
        <v>2.00197898</v>
      </c>
      <c r="M65" s="18" t="n">
        <v>1.95364211</v>
      </c>
      <c r="N65" s="20" t="n">
        <v>0.62345126</v>
      </c>
      <c r="O65" s="18" t="n">
        <v>0.7993677300000001</v>
      </c>
      <c r="P65" s="20" t="n">
        <v>0.46768638</v>
      </c>
      <c r="Q65" s="18" t="n">
        <v>12.92690696</v>
      </c>
      <c r="R65" s="20" t="n">
        <v>1.44940644</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87.41085491</v>
      </c>
      <c r="F69" s="20" t="n">
        <v>1.46620878</v>
      </c>
      <c r="G69" s="18" t="n">
        <v>7.99592018</v>
      </c>
      <c r="H69" s="20" t="n">
        <v>1.23681853</v>
      </c>
      <c r="I69" s="18" t="s">
        <v>349</v>
      </c>
      <c r="J69" s="20" t="s">
        <v>349</v>
      </c>
      <c r="K69" s="18" t="n">
        <v>0</v>
      </c>
      <c r="L69" s="20" t="n">
        <v>0</v>
      </c>
      <c r="M69" s="18" t="n">
        <v>0</v>
      </c>
      <c r="N69" s="20" t="n">
        <v>0</v>
      </c>
      <c r="O69" s="18" t="n">
        <v>0</v>
      </c>
      <c r="P69" s="20" t="n">
        <v>0</v>
      </c>
      <c r="Q69" s="18" t="n">
        <v>4.59322491</v>
      </c>
      <c r="R69" s="20" t="n">
        <v>1.02419722</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65.26878791</v>
      </c>
      <c r="F74" s="20" t="n">
        <v>2.50576015</v>
      </c>
      <c r="G74" s="18" t="n">
        <v>8.857691709999999</v>
      </c>
      <c r="H74" s="20" t="n">
        <v>1.38907144</v>
      </c>
      <c r="I74" s="18" t="s">
        <v>349</v>
      </c>
      <c r="J74" s="20" t="s">
        <v>349</v>
      </c>
      <c r="K74" s="18" t="n">
        <v>15.64308809</v>
      </c>
      <c r="L74" s="20" t="n">
        <v>2.09525869</v>
      </c>
      <c r="M74" s="18" t="n">
        <v>0</v>
      </c>
      <c r="N74" s="20" t="n">
        <v>0</v>
      </c>
      <c r="O74" s="18" t="n">
        <v>0.6258101</v>
      </c>
      <c r="P74" s="20" t="n">
        <v>0.38319058</v>
      </c>
      <c r="Q74" s="18" t="n">
        <v>9.604622190000001</v>
      </c>
      <c r="R74" s="20" t="n">
        <v>1.6567331</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80.31455493</v>
      </c>
      <c r="F78" s="20" t="n">
        <v>2.07499337</v>
      </c>
      <c r="G78" s="18" t="n">
        <v>16.04154455</v>
      </c>
      <c r="H78" s="20" t="n">
        <v>1.96436534</v>
      </c>
      <c r="I78" s="18" t="s">
        <v>349</v>
      </c>
      <c r="J78" s="20" t="s">
        <v>349</v>
      </c>
      <c r="K78" s="18" t="n">
        <v>0.15221896</v>
      </c>
      <c r="L78" s="20" t="n">
        <v>0.15247401</v>
      </c>
      <c r="M78" s="18" t="n">
        <v>0.30000511</v>
      </c>
      <c r="N78" s="20" t="n">
        <v>0.30017651</v>
      </c>
      <c r="O78" s="18" t="n">
        <v>2.5618697</v>
      </c>
      <c r="P78" s="20" t="n">
        <v>0.55526454</v>
      </c>
      <c r="Q78" s="18" t="n">
        <v>0.62980675</v>
      </c>
      <c r="R78" s="20" t="n">
        <v>0.37216893</v>
      </c>
    </row>
    <row customHeight="1" ht="25" r="79" spans="1:18">
      <c r="A79" s="15" t="s">
        <v>421</v>
      </c>
      <c r="B79" s="17" t="n">
        <v>787</v>
      </c>
      <c r="C79" s="18">
        <f>(655.0/B79*100)</f>
        <v/>
      </c>
      <c r="D79" s="19" t="n">
        <v>132</v>
      </c>
      <c r="E79" s="18" t="n">
        <v>61.72323422</v>
      </c>
      <c r="F79" s="20" t="n">
        <v>4.32423546</v>
      </c>
      <c r="G79" s="18" t="n">
        <v>13.85198829</v>
      </c>
      <c r="H79" s="20" t="n">
        <v>2.97741405</v>
      </c>
      <c r="I79" s="18" t="s">
        <v>349</v>
      </c>
      <c r="J79" s="20" t="s">
        <v>349</v>
      </c>
      <c r="K79" s="18" t="n">
        <v>9.553692099999999</v>
      </c>
      <c r="L79" s="20" t="n">
        <v>2.66178971</v>
      </c>
      <c r="M79" s="18" t="n">
        <v>0</v>
      </c>
      <c r="N79" s="20" t="n">
        <v>0</v>
      </c>
      <c r="O79" s="18" t="n">
        <v>3.73802181</v>
      </c>
      <c r="P79" s="20" t="n">
        <v>1.69590993</v>
      </c>
      <c r="Q79" s="18" t="n">
        <v>11.13306357</v>
      </c>
      <c r="R79" s="20" t="n">
        <v>2.34229876</v>
      </c>
    </row>
    <row r="80" spans="1:18">
      <c r="A80" s="15" t="s">
        <v>422</v>
      </c>
      <c r="B80" s="17" t="n">
        <v>3798</v>
      </c>
      <c r="C80" s="18">
        <f>(3190.0/B80*100)</f>
        <v/>
      </c>
      <c r="D80" s="19" t="n">
        <v>608</v>
      </c>
      <c r="E80" s="18" t="n">
        <v>81.67526041000001</v>
      </c>
      <c r="F80" s="20" t="n">
        <v>2.27636281</v>
      </c>
      <c r="G80" s="18" t="n">
        <v>15.80234683</v>
      </c>
      <c r="H80" s="20" t="n">
        <v>2.08595245</v>
      </c>
      <c r="I80" s="18" t="s">
        <v>349</v>
      </c>
      <c r="J80" s="20" t="s">
        <v>349</v>
      </c>
      <c r="K80" s="18" t="n">
        <v>0</v>
      </c>
      <c r="L80" s="20" t="n">
        <v>0</v>
      </c>
      <c r="M80" s="18" t="n">
        <v>0</v>
      </c>
      <c r="N80" s="20" t="n">
        <v>0</v>
      </c>
      <c r="O80" s="18" t="n">
        <v>0</v>
      </c>
      <c r="P80" s="20" t="n">
        <v>0</v>
      </c>
      <c r="Q80" s="18" t="n">
        <v>2.52239276</v>
      </c>
      <c r="R80" s="20" t="n">
        <v>0.70581089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33.70104618</v>
      </c>
      <c r="F44" s="20" t="n">
        <v>2.62238514</v>
      </c>
      <c r="G44" s="18" t="n">
        <v>16.06113305</v>
      </c>
      <c r="H44" s="20" t="n">
        <v>2.46398403</v>
      </c>
      <c r="I44" s="18" t="s">
        <v>349</v>
      </c>
      <c r="J44" s="20" t="s">
        <v>349</v>
      </c>
      <c r="K44" s="18" t="n">
        <v>28.629688</v>
      </c>
      <c r="L44" s="20" t="n">
        <v>2.53171191</v>
      </c>
      <c r="M44" s="18" t="n">
        <v>0</v>
      </c>
      <c r="N44" s="20" t="n">
        <v>0</v>
      </c>
      <c r="O44" s="18" t="n">
        <v>0</v>
      </c>
      <c r="P44" s="20" t="n">
        <v>0</v>
      </c>
      <c r="Q44" s="18" t="n">
        <v>21.60813278</v>
      </c>
      <c r="R44" s="20" t="n">
        <v>2.5358861</v>
      </c>
    </row>
    <row r="45" spans="1:18">
      <c r="A45" s="15" t="s">
        <v>387</v>
      </c>
      <c r="B45" s="17" t="n">
        <v>2849</v>
      </c>
      <c r="C45" s="18">
        <f>(2395.0/B45*100)</f>
        <v/>
      </c>
      <c r="D45" s="19" t="n">
        <v>454</v>
      </c>
      <c r="E45" s="18" t="n">
        <v>45.99106588</v>
      </c>
      <c r="F45" s="20" t="n">
        <v>2.56057652</v>
      </c>
      <c r="G45" s="18" t="n">
        <v>5.30497829</v>
      </c>
      <c r="H45" s="20" t="n">
        <v>0.9208392399999999</v>
      </c>
      <c r="I45" s="18" t="s">
        <v>349</v>
      </c>
      <c r="J45" s="20" t="s">
        <v>349</v>
      </c>
      <c r="K45" s="18" t="n">
        <v>17.54695953</v>
      </c>
      <c r="L45" s="20" t="n">
        <v>1.85302667</v>
      </c>
      <c r="M45" s="18" t="n">
        <v>0</v>
      </c>
      <c r="N45" s="20" t="n">
        <v>0</v>
      </c>
      <c r="O45" s="18" t="n">
        <v>0.15182852</v>
      </c>
      <c r="P45" s="20" t="n">
        <v>0.16204966</v>
      </c>
      <c r="Q45" s="18" t="n">
        <v>31.00516778</v>
      </c>
      <c r="R45" s="20" t="n">
        <v>2.56967079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52.04142758</v>
      </c>
      <c r="F49" s="20" t="n">
        <v>2.73388007</v>
      </c>
      <c r="G49" s="18" t="n">
        <v>14.76560211</v>
      </c>
      <c r="H49" s="20" t="n">
        <v>1.89504205</v>
      </c>
      <c r="I49" s="18" t="s">
        <v>349</v>
      </c>
      <c r="J49" s="20" t="s">
        <v>349</v>
      </c>
      <c r="K49" s="18" t="n">
        <v>11.95557831</v>
      </c>
      <c r="L49" s="20" t="n">
        <v>1.92653612</v>
      </c>
      <c r="M49" s="18" t="n">
        <v>0</v>
      </c>
      <c r="N49" s="20" t="n">
        <v>0</v>
      </c>
      <c r="O49" s="18" t="n">
        <v>0</v>
      </c>
      <c r="P49" s="20" t="n">
        <v>0</v>
      </c>
      <c r="Q49" s="18" t="n">
        <v>21.237392</v>
      </c>
      <c r="R49" s="20" t="n">
        <v>2.20295392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40.03559476</v>
      </c>
      <c r="F55" s="20" t="n">
        <v>2.66868223</v>
      </c>
      <c r="G55" s="18" t="n">
        <v>8.190883400000001</v>
      </c>
      <c r="H55" s="20" t="n">
        <v>1.20616364</v>
      </c>
      <c r="I55" s="18" t="s">
        <v>349</v>
      </c>
      <c r="J55" s="20" t="s">
        <v>349</v>
      </c>
      <c r="K55" s="18" t="n">
        <v>22.00307258</v>
      </c>
      <c r="L55" s="20" t="n">
        <v>2.01582703</v>
      </c>
      <c r="M55" s="18" t="n">
        <v>0</v>
      </c>
      <c r="N55" s="20" t="n">
        <v>0</v>
      </c>
      <c r="O55" s="18" t="n">
        <v>0</v>
      </c>
      <c r="P55" s="20" t="n">
        <v>0</v>
      </c>
      <c r="Q55" s="18" t="n">
        <v>29.77044926</v>
      </c>
      <c r="R55" s="20" t="n">
        <v>2.44677477</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(2649.0/B57*100)</f>
        <v/>
      </c>
      <c r="D57" s="19" t="n">
        <v>521</v>
      </c>
      <c r="E57" s="18" t="n">
        <v>69.54194749</v>
      </c>
      <c r="F57" s="20" t="n">
        <v>2.20807178</v>
      </c>
      <c r="G57" s="18" t="n">
        <v>8.32424333</v>
      </c>
      <c r="H57" s="20" t="n">
        <v>1.31298479</v>
      </c>
      <c r="I57" s="18" t="s">
        <v>349</v>
      </c>
      <c r="J57" s="20" t="s">
        <v>349</v>
      </c>
      <c r="K57" s="18" t="n">
        <v>2.57985089</v>
      </c>
      <c r="L57" s="20" t="n">
        <v>0.79977041</v>
      </c>
      <c r="M57" s="18" t="n">
        <v>0</v>
      </c>
      <c r="N57" s="20" t="n">
        <v>0</v>
      </c>
      <c r="O57" s="18" t="n">
        <v>0</v>
      </c>
      <c r="P57" s="20" t="n">
        <v>0</v>
      </c>
      <c r="Q57" s="18" t="n">
        <v>19.55395829</v>
      </c>
      <c r="R57" s="20" t="n">
        <v>2.10664273</v>
      </c>
    </row>
    <row r="58" spans="1:18">
      <c r="A58" s="15" t="s">
        <v>400</v>
      </c>
      <c r="B58" s="17" t="n">
        <v>3530</v>
      </c>
      <c r="C58" s="18">
        <f>(2930.0/B58*100)</f>
        <v/>
      </c>
      <c r="D58" s="19" t="n">
        <v>600</v>
      </c>
      <c r="E58" s="18" t="n">
        <v>60.3807183</v>
      </c>
      <c r="F58" s="20" t="n">
        <v>2.8879957</v>
      </c>
      <c r="G58" s="18" t="n">
        <v>5.14740925</v>
      </c>
      <c r="H58" s="20" t="n">
        <v>1.19523309</v>
      </c>
      <c r="I58" s="18" t="s">
        <v>349</v>
      </c>
      <c r="J58" s="20" t="s">
        <v>349</v>
      </c>
      <c r="K58" s="18" t="n">
        <v>13.98551466</v>
      </c>
      <c r="L58" s="20" t="n">
        <v>1.68921767</v>
      </c>
      <c r="M58" s="18" t="n">
        <v>0</v>
      </c>
      <c r="N58" s="20" t="n">
        <v>0</v>
      </c>
      <c r="O58" s="18" t="n">
        <v>0</v>
      </c>
      <c r="P58" s="20" t="n">
        <v>0</v>
      </c>
      <c r="Q58" s="18" t="n">
        <v>20.48635779</v>
      </c>
      <c r="R58" s="20" t="n">
        <v>2.2150221</v>
      </c>
    </row>
    <row r="59" spans="1:18">
      <c r="A59" s="15" t="s">
        <v>401</v>
      </c>
      <c r="B59" s="17" t="n">
        <v>2548</v>
      </c>
      <c r="C59" s="18">
        <f>(2118.0/B59*100)</f>
        <v/>
      </c>
      <c r="D59" s="19" t="n">
        <v>430</v>
      </c>
      <c r="E59" s="18" t="n">
        <v>62.50097664</v>
      </c>
      <c r="F59" s="20" t="n">
        <v>2.55672292</v>
      </c>
      <c r="G59" s="18" t="n">
        <v>3.47469072</v>
      </c>
      <c r="H59" s="20" t="n">
        <v>1.1625126</v>
      </c>
      <c r="I59" s="18" t="s">
        <v>349</v>
      </c>
      <c r="J59" s="20" t="s">
        <v>349</v>
      </c>
      <c r="K59" s="18" t="n">
        <v>9.32827069</v>
      </c>
      <c r="L59" s="20" t="n">
        <v>1.53251681</v>
      </c>
      <c r="M59" s="18" t="n">
        <v>0</v>
      </c>
      <c r="N59" s="20" t="n">
        <v>0</v>
      </c>
      <c r="O59" s="18" t="n">
        <v>0</v>
      </c>
      <c r="P59" s="20" t="n">
        <v>0</v>
      </c>
      <c r="Q59" s="18" t="n">
        <v>24.69606196</v>
      </c>
      <c r="R59" s="20" t="n">
        <v>2.28350016</v>
      </c>
    </row>
    <row r="60" spans="1:18">
      <c r="A60" s="15" t="s">
        <v>402</v>
      </c>
      <c r="B60" s="17" t="n">
        <v>2095</v>
      </c>
      <c r="C60" s="18">
        <f>(1764.0/B60*100)</f>
        <v/>
      </c>
      <c r="D60" s="19" t="n">
        <v>331</v>
      </c>
      <c r="E60" s="18" t="n">
        <v>43.32392982</v>
      </c>
      <c r="F60" s="20" t="n">
        <v>2.9786234</v>
      </c>
      <c r="G60" s="18" t="n">
        <v>14.53680762</v>
      </c>
      <c r="H60" s="20" t="n">
        <v>2.31927498</v>
      </c>
      <c r="I60" s="18" t="s">
        <v>349</v>
      </c>
      <c r="J60" s="20" t="s">
        <v>349</v>
      </c>
      <c r="K60" s="18" t="n">
        <v>16.24149579</v>
      </c>
      <c r="L60" s="20" t="n">
        <v>2.34313169</v>
      </c>
      <c r="M60" s="18" t="n">
        <v>0</v>
      </c>
      <c r="N60" s="20" t="n">
        <v>0</v>
      </c>
      <c r="O60" s="18" t="n">
        <v>0.14892393</v>
      </c>
      <c r="P60" s="20" t="n">
        <v>0.16213816</v>
      </c>
      <c r="Q60" s="18" t="n">
        <v>25.74884284</v>
      </c>
      <c r="R60" s="20" t="n">
        <v>2.91214</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34.21747766</v>
      </c>
      <c r="F63" s="20" t="n">
        <v>2.61809556</v>
      </c>
      <c r="G63" s="18" t="n">
        <v>11.43092998</v>
      </c>
      <c r="H63" s="20" t="n">
        <v>2.0491849</v>
      </c>
      <c r="I63" s="18" t="s">
        <v>349</v>
      </c>
      <c r="J63" s="20" t="s">
        <v>349</v>
      </c>
      <c r="K63" s="18" t="n">
        <v>16.38240039</v>
      </c>
      <c r="L63" s="20" t="n">
        <v>1.93260331</v>
      </c>
      <c r="M63" s="18" t="n">
        <v>0</v>
      </c>
      <c r="N63" s="20" t="n">
        <v>0</v>
      </c>
      <c r="O63" s="18" t="n">
        <v>0</v>
      </c>
      <c r="P63" s="20" t="n">
        <v>0</v>
      </c>
      <c r="Q63" s="18" t="n">
        <v>37.96919198</v>
      </c>
      <c r="R63" s="20" t="n">
        <v>2.26486146</v>
      </c>
    </row>
    <row r="64" spans="1:18">
      <c r="A64" s="15" t="s">
        <v>406</v>
      </c>
      <c r="B64" s="17" t="n">
        <v>1844</v>
      </c>
      <c r="C64" s="18">
        <f>(1531.0/B64*100)</f>
        <v/>
      </c>
      <c r="D64" s="19" t="n">
        <v>313</v>
      </c>
      <c r="E64" s="18" t="n">
        <v>43.77413261</v>
      </c>
      <c r="F64" s="20" t="n">
        <v>2.55655562</v>
      </c>
      <c r="G64" s="18" t="n">
        <v>26.16849898</v>
      </c>
      <c r="H64" s="20" t="n">
        <v>2.39138952</v>
      </c>
      <c r="I64" s="18" t="s">
        <v>349</v>
      </c>
      <c r="J64" s="20" t="s">
        <v>349</v>
      </c>
      <c r="K64" s="18" t="n">
        <v>7.84256362</v>
      </c>
      <c r="L64" s="20" t="n">
        <v>1.65639419</v>
      </c>
      <c r="M64" s="18" t="n">
        <v>0</v>
      </c>
      <c r="N64" s="20" t="n">
        <v>0</v>
      </c>
      <c r="O64" s="18" t="n">
        <v>0</v>
      </c>
      <c r="P64" s="20" t="n">
        <v>0</v>
      </c>
      <c r="Q64" s="18" t="n">
        <v>22.2148048</v>
      </c>
      <c r="R64" s="20" t="n">
        <v>2.29721039</v>
      </c>
    </row>
    <row r="65" spans="1:18">
      <c r="A65" s="15" t="s">
        <v>407</v>
      </c>
      <c r="B65" s="17" t="n">
        <v>2691</v>
      </c>
      <c r="C65" s="18">
        <f>(2226.0/B65*100)</f>
        <v/>
      </c>
      <c r="D65" s="19" t="n">
        <v>465</v>
      </c>
      <c r="E65" s="18" t="n">
        <v>36.70522097</v>
      </c>
      <c r="F65" s="20" t="n">
        <v>2.32296374</v>
      </c>
      <c r="G65" s="18" t="n">
        <v>12.2770326</v>
      </c>
      <c r="H65" s="20" t="n">
        <v>1.3534668</v>
      </c>
      <c r="I65" s="18" t="s">
        <v>349</v>
      </c>
      <c r="J65" s="20" t="s">
        <v>349</v>
      </c>
      <c r="K65" s="18" t="n">
        <v>24.14486467</v>
      </c>
      <c r="L65" s="20" t="n">
        <v>2.09016328</v>
      </c>
      <c r="M65" s="18" t="n">
        <v>0</v>
      </c>
      <c r="N65" s="20" t="n">
        <v>0</v>
      </c>
      <c r="O65" s="18" t="n">
        <v>0</v>
      </c>
      <c r="P65" s="20" t="n">
        <v>0</v>
      </c>
      <c r="Q65" s="18" t="n">
        <v>26.87288176</v>
      </c>
      <c r="R65" s="20" t="n">
        <v>1.98551749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75.67424679</v>
      </c>
      <c r="F69" s="20" t="n">
        <v>1.85307011</v>
      </c>
      <c r="G69" s="18" t="n">
        <v>23.63125611</v>
      </c>
      <c r="H69" s="20" t="n">
        <v>1.82966445</v>
      </c>
      <c r="I69" s="18" t="s">
        <v>349</v>
      </c>
      <c r="J69" s="20" t="s">
        <v>349</v>
      </c>
      <c r="K69" s="18" t="n">
        <v>0</v>
      </c>
      <c r="L69" s="20" t="n">
        <v>0</v>
      </c>
      <c r="M69" s="18" t="n">
        <v>0</v>
      </c>
      <c r="N69" s="20" t="n">
        <v>0</v>
      </c>
      <c r="O69" s="18" t="n">
        <v>0</v>
      </c>
      <c r="P69" s="20" t="n">
        <v>0</v>
      </c>
      <c r="Q69" s="18" t="n">
        <v>0.69449709</v>
      </c>
      <c r="R69" s="20" t="n">
        <v>0.41573675</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42.28122273</v>
      </c>
      <c r="F74" s="20" t="n">
        <v>2.57798758</v>
      </c>
      <c r="G74" s="18" t="n">
        <v>11.50053296</v>
      </c>
      <c r="H74" s="20" t="n">
        <v>1.59422778</v>
      </c>
      <c r="I74" s="18" t="s">
        <v>349</v>
      </c>
      <c r="J74" s="20" t="s">
        <v>349</v>
      </c>
      <c r="K74" s="18" t="n">
        <v>21.66123571</v>
      </c>
      <c r="L74" s="20" t="n">
        <v>2.2213367</v>
      </c>
      <c r="M74" s="18" t="n">
        <v>0</v>
      </c>
      <c r="N74" s="20" t="n">
        <v>0</v>
      </c>
      <c r="O74" s="18" t="n">
        <v>0</v>
      </c>
      <c r="P74" s="20" t="n">
        <v>0</v>
      </c>
      <c r="Q74" s="18" t="n">
        <v>24.5570086</v>
      </c>
      <c r="R74" s="20" t="n">
        <v>2.48900732</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59.45529521</v>
      </c>
      <c r="F78" s="20" t="n">
        <v>2.73263893</v>
      </c>
      <c r="G78" s="18" t="n">
        <v>36.18557995</v>
      </c>
      <c r="H78" s="20" t="n">
        <v>2.48900279</v>
      </c>
      <c r="I78" s="18" t="s">
        <v>349</v>
      </c>
      <c r="J78" s="20" t="s">
        <v>349</v>
      </c>
      <c r="K78" s="18" t="n">
        <v>0.15221896</v>
      </c>
      <c r="L78" s="20" t="n">
        <v>0.15247401</v>
      </c>
      <c r="M78" s="18" t="n">
        <v>0</v>
      </c>
      <c r="N78" s="20" t="n">
        <v>0</v>
      </c>
      <c r="O78" s="18" t="n">
        <v>0</v>
      </c>
      <c r="P78" s="20" t="n">
        <v>0</v>
      </c>
      <c r="Q78" s="18" t="n">
        <v>4.20690588</v>
      </c>
      <c r="R78" s="20" t="n">
        <v>1.06780784</v>
      </c>
    </row>
    <row customHeight="1" ht="25" r="79" spans="1:18">
      <c r="A79" s="15" t="s">
        <v>421</v>
      </c>
      <c r="B79" s="17" t="n">
        <v>787</v>
      </c>
      <c r="C79" s="18">
        <f>(655.0/B79*100)</f>
        <v/>
      </c>
      <c r="D79" s="19" t="n">
        <v>132</v>
      </c>
      <c r="E79" s="18" t="n">
        <v>33.96978819</v>
      </c>
      <c r="F79" s="20" t="n">
        <v>4.13199977</v>
      </c>
      <c r="G79" s="18" t="n">
        <v>38.02029968</v>
      </c>
      <c r="H79" s="20" t="n">
        <v>4.50764332</v>
      </c>
      <c r="I79" s="18" t="s">
        <v>349</v>
      </c>
      <c r="J79" s="20" t="s">
        <v>349</v>
      </c>
      <c r="K79" s="18" t="n">
        <v>10.70204519</v>
      </c>
      <c r="L79" s="20" t="n">
        <v>2.63029201</v>
      </c>
      <c r="M79" s="18" t="n">
        <v>0</v>
      </c>
      <c r="N79" s="20" t="n">
        <v>0</v>
      </c>
      <c r="O79" s="18" t="n">
        <v>0</v>
      </c>
      <c r="P79" s="20" t="n">
        <v>0</v>
      </c>
      <c r="Q79" s="18" t="n">
        <v>17.30786694</v>
      </c>
      <c r="R79" s="20" t="n">
        <v>3.93329017</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544</v>
      </c>
    </row>
    <row customHeight="1" ht="30" r="4" spans="1:26">
      <c r="A4" s="6" t="n"/>
      <c r="B4" s="7" t="s">
        <v>333</v>
      </c>
      <c r="C4" s="7" t="s">
        <v>334</v>
      </c>
      <c r="D4" s="8" t="s">
        <v>333</v>
      </c>
      <c r="E4" s="9" t="s">
        <v>455</v>
      </c>
      <c r="F4" s="10" t="n"/>
      <c r="G4" s="9" t="s">
        <v>456</v>
      </c>
      <c r="H4" s="10" t="n"/>
      <c r="I4" s="9" t="s">
        <v>536</v>
      </c>
      <c r="J4" s="10" t="n"/>
      <c r="K4" s="9" t="s">
        <v>441</v>
      </c>
      <c r="L4" s="10" t="n"/>
      <c r="M4" s="9" t="s">
        <v>442</v>
      </c>
      <c r="N4" s="10" t="n"/>
      <c r="O4" s="9" t="s">
        <v>444</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row>
    <row r="6" spans="1:26">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row>
    <row r="8" spans="1:26">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row>
    <row r="9" spans="1:26">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row>
    <row r="10" spans="1:26">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row>
    <row r="11" spans="1:26">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row>
    <row r="12" spans="1:26">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row>
    <row r="13" spans="1:26">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row>
    <row r="14" spans="1:26">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row>
    <row r="15" spans="1:26">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row>
    <row r="16" spans="1:26">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row>
    <row r="17" spans="1:26">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row>
    <row r="18" spans="1:26">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row>
    <row r="19" spans="1:26">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row>
    <row r="20" spans="1:26">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row>
    <row r="21" spans="1:26">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row>
    <row r="22" spans="1:26">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row>
    <row r="23" spans="1:26">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row>
    <row r="24" spans="1:26">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row>
    <row r="25" spans="1:26">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row>
    <row r="26" spans="1:26">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row>
    <row r="27" spans="1:26">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row>
    <row r="28" spans="1:26">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row>
    <row r="29" spans="1:26">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row>
    <row r="30" spans="1:26">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row>
    <row r="31" spans="1:26">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row>
    <row r="32" spans="1:26">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row>
    <row r="33" spans="1:26">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row>
    <row r="34" spans="1:26">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row>
    <row r="35" spans="1:26">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row>
    <row r="36" spans="1:26">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row>
    <row r="37" spans="1:26">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row>
    <row r="38" spans="1:26">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row>
    <row r="39" spans="1:26">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row>
    <row r="40" spans="1:26">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row>
    <row r="41" spans="1:26">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row>
    <row r="42" spans="1:26">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386</v>
      </c>
      <c r="B44" s="17" t="n">
        <v>2524</v>
      </c>
      <c r="C44" s="18">
        <f>(2090.0/B44*100)</f>
        <v/>
      </c>
      <c r="D44" s="19" t="n">
        <v>434</v>
      </c>
      <c r="E44" s="18" t="n">
        <v>22.57975004</v>
      </c>
      <c r="F44" s="20" t="n">
        <v>2.30219304</v>
      </c>
      <c r="G44" s="18" t="n">
        <v>4.63524196</v>
      </c>
      <c r="H44" s="20" t="n">
        <v>1.52102213</v>
      </c>
      <c r="I44" s="18" t="n">
        <v>0</v>
      </c>
      <c r="J44" s="20" t="n">
        <v>0</v>
      </c>
      <c r="K44" s="18" t="n">
        <v>2.1557878</v>
      </c>
      <c r="L44" s="20" t="n">
        <v>0.73543398</v>
      </c>
      <c r="M44" s="18" t="n">
        <v>2.02073324</v>
      </c>
      <c r="N44" s="20" t="n">
        <v>0.83152907</v>
      </c>
      <c r="O44" s="18" t="n">
        <v>6.17341656</v>
      </c>
      <c r="P44" s="20" t="n">
        <v>1.42830267</v>
      </c>
      <c r="Q44" s="18" t="s">
        <v>349</v>
      </c>
      <c r="R44" s="20" t="s">
        <v>349</v>
      </c>
      <c r="S44" s="18" t="n">
        <v>31.52619791</v>
      </c>
      <c r="T44" s="20" t="n">
        <v>2.60199378</v>
      </c>
      <c r="U44" s="18" t="n">
        <v>0</v>
      </c>
      <c r="V44" s="20" t="n">
        <v>0</v>
      </c>
      <c r="W44" s="18" t="n">
        <v>0</v>
      </c>
      <c r="X44" s="20" t="n">
        <v>0</v>
      </c>
      <c r="Y44" s="18" t="n">
        <v>30.9088725</v>
      </c>
      <c r="Z44" s="20" t="n">
        <v>2.51634317</v>
      </c>
    </row>
    <row r="45" spans="1:26">
      <c r="A45" s="15" t="s">
        <v>387</v>
      </c>
      <c r="B45" s="17" t="n">
        <v>2849</v>
      </c>
      <c r="C45" s="18">
        <f>(2395.0/B45*100)</f>
        <v/>
      </c>
      <c r="D45" s="19" t="n">
        <v>454</v>
      </c>
      <c r="E45" s="18" t="n">
        <v>18.82151635</v>
      </c>
      <c r="F45" s="20" t="n">
        <v>2.32867648</v>
      </c>
      <c r="G45" s="18" t="n">
        <v>19.45634291</v>
      </c>
      <c r="H45" s="20" t="n">
        <v>2.01892319</v>
      </c>
      <c r="I45" s="18" t="n">
        <v>0</v>
      </c>
      <c r="J45" s="20" t="n">
        <v>0</v>
      </c>
      <c r="K45" s="18" t="n">
        <v>5.99397606</v>
      </c>
      <c r="L45" s="20" t="n">
        <v>1.07589759</v>
      </c>
      <c r="M45" s="18" t="n">
        <v>2.83792634</v>
      </c>
      <c r="N45" s="20" t="n">
        <v>0.64982594</v>
      </c>
      <c r="O45" s="18" t="n">
        <v>0</v>
      </c>
      <c r="P45" s="20" t="n">
        <v>0</v>
      </c>
      <c r="Q45" s="18" t="s">
        <v>349</v>
      </c>
      <c r="R45" s="20" t="s">
        <v>349</v>
      </c>
      <c r="S45" s="18" t="n">
        <v>21.28210809</v>
      </c>
      <c r="T45" s="20" t="n">
        <v>2.01600807</v>
      </c>
      <c r="U45" s="18" t="n">
        <v>0.25462559</v>
      </c>
      <c r="V45" s="20" t="n">
        <v>0.25832307</v>
      </c>
      <c r="W45" s="18" t="n">
        <v>0.15182852</v>
      </c>
      <c r="X45" s="20" t="n">
        <v>0.16204966</v>
      </c>
      <c r="Y45" s="18" t="n">
        <v>31.20167614</v>
      </c>
      <c r="Z45" s="20" t="n">
        <v>2.21381562</v>
      </c>
    </row>
    <row r="46" spans="1:26">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row>
    <row r="47" spans="1:26">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row>
    <row r="48" spans="1:26">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row>
    <row r="49" spans="1:26">
      <c r="A49" s="15" t="s">
        <v>391</v>
      </c>
      <c r="B49" s="17" t="n">
        <v>3018</v>
      </c>
      <c r="C49" s="18">
        <f>(2503.0/B49*100)</f>
        <v/>
      </c>
      <c r="D49" s="19" t="n">
        <v>515</v>
      </c>
      <c r="E49" s="18" t="n">
        <v>36.13784948</v>
      </c>
      <c r="F49" s="20" t="n">
        <v>2.60864228</v>
      </c>
      <c r="G49" s="18" t="n">
        <v>17.48637698</v>
      </c>
      <c r="H49" s="20" t="n">
        <v>2.19786527</v>
      </c>
      <c r="I49" s="18" t="n">
        <v>0</v>
      </c>
      <c r="J49" s="20" t="n">
        <v>0</v>
      </c>
      <c r="K49" s="18" t="n">
        <v>0.76090714</v>
      </c>
      <c r="L49" s="20" t="n">
        <v>0.37666807</v>
      </c>
      <c r="M49" s="18" t="n">
        <v>1.13233293</v>
      </c>
      <c r="N49" s="20" t="n">
        <v>0.48981588</v>
      </c>
      <c r="O49" s="18" t="n">
        <v>1.06628984</v>
      </c>
      <c r="P49" s="20" t="n">
        <v>0.4704397</v>
      </c>
      <c r="Q49" s="18" t="s">
        <v>349</v>
      </c>
      <c r="R49" s="20" t="s">
        <v>349</v>
      </c>
      <c r="S49" s="18" t="n">
        <v>16.02388949</v>
      </c>
      <c r="T49" s="20" t="n">
        <v>2.15749429</v>
      </c>
      <c r="U49" s="18" t="n">
        <v>0</v>
      </c>
      <c r="V49" s="20" t="n">
        <v>0</v>
      </c>
      <c r="W49" s="18" t="n">
        <v>0</v>
      </c>
      <c r="X49" s="20" t="n">
        <v>0</v>
      </c>
      <c r="Y49" s="18" t="n">
        <v>27.39235412</v>
      </c>
      <c r="Z49" s="20" t="n">
        <v>2.33949076</v>
      </c>
    </row>
    <row r="50" spans="1:26">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row>
    <row r="51" spans="1:26">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row>
    <row r="52" spans="1:26">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row>
    <row r="53" spans="1:26">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row>
    <row r="54" spans="1:26">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row>
    <row r="55" spans="1:26">
      <c r="A55" s="15" t="s">
        <v>397</v>
      </c>
      <c r="B55" s="17" t="n">
        <v>2759</v>
      </c>
      <c r="C55" s="18">
        <f>(2297.0/B55*100)</f>
        <v/>
      </c>
      <c r="D55" s="19" t="n">
        <v>462</v>
      </c>
      <c r="E55" s="18" t="n">
        <v>9.311955230000001</v>
      </c>
      <c r="F55" s="20" t="n">
        <v>1.29056997</v>
      </c>
      <c r="G55" s="18" t="n">
        <v>13.55043028</v>
      </c>
      <c r="H55" s="20" t="n">
        <v>1.54404086</v>
      </c>
      <c r="I55" s="18" t="n">
        <v>0</v>
      </c>
      <c r="J55" s="20" t="n">
        <v>0</v>
      </c>
      <c r="K55" s="18" t="n">
        <v>2.42799528</v>
      </c>
      <c r="L55" s="20" t="n">
        <v>0.70288524</v>
      </c>
      <c r="M55" s="18" t="n">
        <v>4.8440973</v>
      </c>
      <c r="N55" s="20" t="n">
        <v>1.16890544</v>
      </c>
      <c r="O55" s="18" t="n">
        <v>5.15370887</v>
      </c>
      <c r="P55" s="20" t="n">
        <v>1.20584388</v>
      </c>
      <c r="Q55" s="18" t="s">
        <v>349</v>
      </c>
      <c r="R55" s="20" t="s">
        <v>349</v>
      </c>
      <c r="S55" s="18" t="n">
        <v>23.16546661</v>
      </c>
      <c r="T55" s="20" t="n">
        <v>2.02932023</v>
      </c>
      <c r="U55" s="18" t="n">
        <v>0</v>
      </c>
      <c r="V55" s="20" t="n">
        <v>0</v>
      </c>
      <c r="W55" s="18" t="n">
        <v>0</v>
      </c>
      <c r="X55" s="20" t="n">
        <v>0</v>
      </c>
      <c r="Y55" s="18" t="n">
        <v>41.54634643</v>
      </c>
      <c r="Z55" s="20" t="n">
        <v>2.57543555</v>
      </c>
    </row>
    <row r="56" spans="1:26">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row>
    <row r="57" spans="1:26">
      <c r="A57" s="15" t="s">
        <v>399</v>
      </c>
      <c r="B57" s="17" t="n">
        <v>3170</v>
      </c>
      <c r="C57" s="18">
        <f>(2649.0/B57*100)</f>
        <v/>
      </c>
      <c r="D57" s="19" t="n">
        <v>521</v>
      </c>
      <c r="E57" s="18" t="n">
        <v>7.29834837</v>
      </c>
      <c r="F57" s="20" t="n">
        <v>1.31011239</v>
      </c>
      <c r="G57" s="18" t="n">
        <v>60.09906664</v>
      </c>
      <c r="H57" s="20" t="n">
        <v>2.75591707</v>
      </c>
      <c r="I57" s="18" t="n">
        <v>0</v>
      </c>
      <c r="J57" s="20" t="n">
        <v>0</v>
      </c>
      <c r="K57" s="18" t="n">
        <v>0.41878009</v>
      </c>
      <c r="L57" s="20" t="n">
        <v>0.31181736</v>
      </c>
      <c r="M57" s="18" t="n">
        <v>0</v>
      </c>
      <c r="N57" s="20" t="n">
        <v>0</v>
      </c>
      <c r="O57" s="18" t="n">
        <v>1.51326133</v>
      </c>
      <c r="P57" s="20" t="n">
        <v>0.54388297</v>
      </c>
      <c r="Q57" s="18" t="s">
        <v>349</v>
      </c>
      <c r="R57" s="20" t="s">
        <v>349</v>
      </c>
      <c r="S57" s="18" t="n">
        <v>2.70590911</v>
      </c>
      <c r="T57" s="20" t="n">
        <v>0.8075053599999999</v>
      </c>
      <c r="U57" s="18" t="n">
        <v>0</v>
      </c>
      <c r="V57" s="20" t="n">
        <v>0</v>
      </c>
      <c r="W57" s="18" t="n">
        <v>0</v>
      </c>
      <c r="X57" s="20" t="n">
        <v>0</v>
      </c>
      <c r="Y57" s="18" t="n">
        <v>27.96463447</v>
      </c>
      <c r="Z57" s="20" t="n">
        <v>2.45519832</v>
      </c>
    </row>
    <row r="58" spans="1:26">
      <c r="A58" s="15" t="s">
        <v>400</v>
      </c>
      <c r="B58" s="17" t="n">
        <v>3530</v>
      </c>
      <c r="C58" s="18">
        <f>(2930.0/B58*100)</f>
        <v/>
      </c>
      <c r="D58" s="19" t="n">
        <v>600</v>
      </c>
      <c r="E58" s="18" t="n">
        <v>16.70074904</v>
      </c>
      <c r="F58" s="20" t="n">
        <v>1.50912217</v>
      </c>
      <c r="G58" s="18" t="n">
        <v>38.62521123</v>
      </c>
      <c r="H58" s="20" t="n">
        <v>2.48254005</v>
      </c>
      <c r="I58" s="18" t="n">
        <v>0</v>
      </c>
      <c r="J58" s="20" t="n">
        <v>0</v>
      </c>
      <c r="K58" s="18" t="n">
        <v>0.71394933</v>
      </c>
      <c r="L58" s="20" t="n">
        <v>0.37347818</v>
      </c>
      <c r="M58" s="18" t="n">
        <v>0.84908259</v>
      </c>
      <c r="N58" s="20" t="n">
        <v>0.43956519</v>
      </c>
      <c r="O58" s="18" t="n">
        <v>0.90444304</v>
      </c>
      <c r="P58" s="20" t="n">
        <v>0.47238648</v>
      </c>
      <c r="Q58" s="18" t="s">
        <v>349</v>
      </c>
      <c r="R58" s="20" t="s">
        <v>349</v>
      </c>
      <c r="S58" s="18" t="n">
        <v>16.21683624</v>
      </c>
      <c r="T58" s="20" t="n">
        <v>2.09096546</v>
      </c>
      <c r="U58" s="18" t="n">
        <v>0</v>
      </c>
      <c r="V58" s="20" t="n">
        <v>0</v>
      </c>
      <c r="W58" s="18" t="n">
        <v>0</v>
      </c>
      <c r="X58" s="20" t="n">
        <v>0</v>
      </c>
      <c r="Y58" s="18" t="n">
        <v>25.98972853</v>
      </c>
      <c r="Z58" s="20" t="n">
        <v>2.13422693</v>
      </c>
    </row>
    <row r="59" spans="1:26">
      <c r="A59" s="15" t="s">
        <v>401</v>
      </c>
      <c r="B59" s="17" t="n">
        <v>2548</v>
      </c>
      <c r="C59" s="18">
        <f>(2118.0/B59*100)</f>
        <v/>
      </c>
      <c r="D59" s="19" t="n">
        <v>430</v>
      </c>
      <c r="E59" s="18" t="n">
        <v>25.20901052</v>
      </c>
      <c r="F59" s="20" t="n">
        <v>2.69518226</v>
      </c>
      <c r="G59" s="18" t="n">
        <v>19.00629695</v>
      </c>
      <c r="H59" s="20" t="n">
        <v>1.92616179</v>
      </c>
      <c r="I59" s="18" t="n">
        <v>0</v>
      </c>
      <c r="J59" s="20" t="n">
        <v>0</v>
      </c>
      <c r="K59" s="18" t="n">
        <v>0</v>
      </c>
      <c r="L59" s="20" t="n">
        <v>0</v>
      </c>
      <c r="M59" s="18" t="n">
        <v>0.22084375</v>
      </c>
      <c r="N59" s="20" t="n">
        <v>0.16015986</v>
      </c>
      <c r="O59" s="18" t="n">
        <v>0</v>
      </c>
      <c r="P59" s="20" t="n">
        <v>0</v>
      </c>
      <c r="Q59" s="18" t="s">
        <v>349</v>
      </c>
      <c r="R59" s="20" t="s">
        <v>349</v>
      </c>
      <c r="S59" s="18" t="n">
        <v>10.2859784</v>
      </c>
      <c r="T59" s="20" t="n">
        <v>1.57643244</v>
      </c>
      <c r="U59" s="18" t="n">
        <v>0</v>
      </c>
      <c r="V59" s="20" t="n">
        <v>0</v>
      </c>
      <c r="W59" s="18" t="n">
        <v>0</v>
      </c>
      <c r="X59" s="20" t="n">
        <v>0</v>
      </c>
      <c r="Y59" s="18" t="n">
        <v>45.27787038</v>
      </c>
      <c r="Z59" s="20" t="n">
        <v>2.66626509</v>
      </c>
    </row>
    <row r="60" spans="1:26">
      <c r="A60" s="15" t="s">
        <v>402</v>
      </c>
      <c r="B60" s="17" t="n">
        <v>2095</v>
      </c>
      <c r="C60" s="18">
        <f>(1764.0/B60*100)</f>
        <v/>
      </c>
      <c r="D60" s="19" t="n">
        <v>331</v>
      </c>
      <c r="E60" s="18" t="n">
        <v>18.05730633</v>
      </c>
      <c r="F60" s="20" t="n">
        <v>2.4919907</v>
      </c>
      <c r="G60" s="18" t="n">
        <v>24.88517088</v>
      </c>
      <c r="H60" s="20" t="n">
        <v>2.33248655</v>
      </c>
      <c r="I60" s="18" t="n">
        <v>0</v>
      </c>
      <c r="J60" s="20" t="n">
        <v>0</v>
      </c>
      <c r="K60" s="18" t="n">
        <v>0.24989179</v>
      </c>
      <c r="L60" s="20" t="n">
        <v>0.24925731</v>
      </c>
      <c r="M60" s="18" t="n">
        <v>4.05028049</v>
      </c>
      <c r="N60" s="20" t="n">
        <v>1.26393128</v>
      </c>
      <c r="O60" s="18" t="n">
        <v>4.75492952</v>
      </c>
      <c r="P60" s="20" t="n">
        <v>1.45843192</v>
      </c>
      <c r="Q60" s="18" t="s">
        <v>349</v>
      </c>
      <c r="R60" s="20" t="s">
        <v>349</v>
      </c>
      <c r="S60" s="18" t="n">
        <v>18.4316969</v>
      </c>
      <c r="T60" s="20" t="n">
        <v>2.35582761</v>
      </c>
      <c r="U60" s="18" t="n">
        <v>0</v>
      </c>
      <c r="V60" s="20" t="n">
        <v>0</v>
      </c>
      <c r="W60" s="18" t="n">
        <v>0.6195004200000001</v>
      </c>
      <c r="X60" s="20" t="n">
        <v>0.35654112</v>
      </c>
      <c r="Y60" s="18" t="n">
        <v>28.95122367</v>
      </c>
      <c r="Z60" s="20" t="n">
        <v>3.61979065</v>
      </c>
    </row>
    <row r="61" spans="1:26">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row>
    <row r="62" spans="1:26">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row>
    <row r="63" spans="1:26">
      <c r="A63" s="15" t="s">
        <v>405</v>
      </c>
      <c r="B63" s="17" t="n">
        <v>2813</v>
      </c>
      <c r="C63" s="18">
        <f>(2368.0/B63*100)</f>
        <v/>
      </c>
      <c r="D63" s="19" t="n">
        <v>445</v>
      </c>
      <c r="E63" s="18" t="n">
        <v>14.72730367</v>
      </c>
      <c r="F63" s="20" t="n">
        <v>1.74817413</v>
      </c>
      <c r="G63" s="18" t="n">
        <v>11.41511582</v>
      </c>
      <c r="H63" s="20" t="n">
        <v>1.64287174</v>
      </c>
      <c r="I63" s="18" t="n">
        <v>0</v>
      </c>
      <c r="J63" s="20" t="n">
        <v>0</v>
      </c>
      <c r="K63" s="18" t="n">
        <v>0</v>
      </c>
      <c r="L63" s="20" t="n">
        <v>0</v>
      </c>
      <c r="M63" s="18" t="n">
        <v>0.43280841</v>
      </c>
      <c r="N63" s="20" t="n">
        <v>0.2803304</v>
      </c>
      <c r="O63" s="18" t="n">
        <v>0.75182981</v>
      </c>
      <c r="P63" s="20" t="n">
        <v>0.53900717</v>
      </c>
      <c r="Q63" s="18" t="s">
        <v>349</v>
      </c>
      <c r="R63" s="20" t="s">
        <v>349</v>
      </c>
      <c r="S63" s="18" t="n">
        <v>18.77769115</v>
      </c>
      <c r="T63" s="20" t="n">
        <v>2.07441605</v>
      </c>
      <c r="U63" s="18" t="n">
        <v>0</v>
      </c>
      <c r="V63" s="20" t="n">
        <v>0</v>
      </c>
      <c r="W63" s="18" t="n">
        <v>0</v>
      </c>
      <c r="X63" s="20" t="n">
        <v>0</v>
      </c>
      <c r="Y63" s="18" t="n">
        <v>53.89525114</v>
      </c>
      <c r="Z63" s="20" t="n">
        <v>2.15547476</v>
      </c>
    </row>
    <row r="64" spans="1:26">
      <c r="A64" s="15" t="s">
        <v>406</v>
      </c>
      <c r="B64" s="17" t="n">
        <v>1844</v>
      </c>
      <c r="C64" s="18">
        <f>(1531.0/B64*100)</f>
        <v/>
      </c>
      <c r="D64" s="19" t="n">
        <v>313</v>
      </c>
      <c r="E64" s="18" t="n">
        <v>43.9202274</v>
      </c>
      <c r="F64" s="20" t="n">
        <v>3.13167714</v>
      </c>
      <c r="G64" s="18" t="n">
        <v>12.49527463</v>
      </c>
      <c r="H64" s="20" t="n">
        <v>1.99611695</v>
      </c>
      <c r="I64" s="18" t="n">
        <v>0</v>
      </c>
      <c r="J64" s="20" t="n">
        <v>0</v>
      </c>
      <c r="K64" s="18" t="n">
        <v>0.8471326</v>
      </c>
      <c r="L64" s="20" t="n">
        <v>0.48683334</v>
      </c>
      <c r="M64" s="18" t="n">
        <v>5.73106179</v>
      </c>
      <c r="N64" s="20" t="n">
        <v>1.24072846</v>
      </c>
      <c r="O64" s="18" t="n">
        <v>2.89912081</v>
      </c>
      <c r="P64" s="20" t="n">
        <v>0.81715689</v>
      </c>
      <c r="Q64" s="18" t="s">
        <v>349</v>
      </c>
      <c r="R64" s="20" t="s">
        <v>349</v>
      </c>
      <c r="S64" s="18" t="n">
        <v>10.4027457</v>
      </c>
      <c r="T64" s="20" t="n">
        <v>1.80967318</v>
      </c>
      <c r="U64" s="18" t="n">
        <v>0</v>
      </c>
      <c r="V64" s="20" t="n">
        <v>0</v>
      </c>
      <c r="W64" s="18" t="n">
        <v>0</v>
      </c>
      <c r="X64" s="20" t="n">
        <v>0</v>
      </c>
      <c r="Y64" s="18" t="n">
        <v>23.70443706</v>
      </c>
      <c r="Z64" s="20" t="n">
        <v>2.70158019</v>
      </c>
    </row>
    <row r="65" spans="1:26">
      <c r="A65" s="15" t="s">
        <v>407</v>
      </c>
      <c r="B65" s="17" t="n">
        <v>2691</v>
      </c>
      <c r="C65" s="18">
        <f>(2226.0/B65*100)</f>
        <v/>
      </c>
      <c r="D65" s="19" t="n">
        <v>465</v>
      </c>
      <c r="E65" s="18" t="n">
        <v>15.50786206</v>
      </c>
      <c r="F65" s="20" t="n">
        <v>1.5166067</v>
      </c>
      <c r="G65" s="18" t="n">
        <v>11.80637598</v>
      </c>
      <c r="H65" s="20" t="n">
        <v>1.69211149</v>
      </c>
      <c r="I65" s="18" t="n">
        <v>0</v>
      </c>
      <c r="J65" s="20" t="n">
        <v>0</v>
      </c>
      <c r="K65" s="18" t="n">
        <v>1.61482411</v>
      </c>
      <c r="L65" s="20" t="n">
        <v>0.77940137</v>
      </c>
      <c r="M65" s="18" t="n">
        <v>2.15208149</v>
      </c>
      <c r="N65" s="20" t="n">
        <v>0.70680186</v>
      </c>
      <c r="O65" s="18" t="n">
        <v>1.50757693</v>
      </c>
      <c r="P65" s="20" t="n">
        <v>0.65178264</v>
      </c>
      <c r="Q65" s="18" t="s">
        <v>349</v>
      </c>
      <c r="R65" s="20" t="s">
        <v>349</v>
      </c>
      <c r="S65" s="18" t="n">
        <v>27.50782914</v>
      </c>
      <c r="T65" s="20" t="n">
        <v>2.03688276</v>
      </c>
      <c r="U65" s="18" t="n">
        <v>0</v>
      </c>
      <c r="V65" s="20" t="n">
        <v>0</v>
      </c>
      <c r="W65" s="18" t="n">
        <v>0</v>
      </c>
      <c r="X65" s="20" t="n">
        <v>0</v>
      </c>
      <c r="Y65" s="18" t="n">
        <v>39.90345029</v>
      </c>
      <c r="Z65" s="20" t="n">
        <v>2.28340092</v>
      </c>
    </row>
    <row r="66" spans="1:26">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row>
    <row r="67" spans="1:26">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row>
    <row r="68" spans="1:26">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row>
    <row r="69" spans="1:26">
      <c r="A69" s="15" t="s">
        <v>411</v>
      </c>
      <c r="B69" s="17" t="n">
        <v>2410</v>
      </c>
      <c r="C69" s="18">
        <f>(2021.0/B69*100)</f>
        <v/>
      </c>
      <c r="D69" s="19" t="n">
        <v>389</v>
      </c>
      <c r="E69" s="18" t="n">
        <v>36.51630649</v>
      </c>
      <c r="F69" s="20" t="n">
        <v>2.37958733</v>
      </c>
      <c r="G69" s="18" t="n">
        <v>44.20202502</v>
      </c>
      <c r="H69" s="20" t="n">
        <v>2.85978618</v>
      </c>
      <c r="I69" s="18" t="n">
        <v>0</v>
      </c>
      <c r="J69" s="20" t="n">
        <v>0</v>
      </c>
      <c r="K69" s="18" t="n">
        <v>5.22401434</v>
      </c>
      <c r="L69" s="20" t="n">
        <v>1.10997738</v>
      </c>
      <c r="M69" s="18" t="n">
        <v>6.7621204</v>
      </c>
      <c r="N69" s="20" t="n">
        <v>1.57550313</v>
      </c>
      <c r="O69" s="18" t="n">
        <v>6.82311686</v>
      </c>
      <c r="P69" s="20" t="n">
        <v>1.34041768</v>
      </c>
      <c r="Q69" s="18" t="s">
        <v>349</v>
      </c>
      <c r="R69" s="20" t="s">
        <v>349</v>
      </c>
      <c r="S69" s="18" t="n">
        <v>0</v>
      </c>
      <c r="T69" s="20" t="n">
        <v>0</v>
      </c>
      <c r="U69" s="18" t="n">
        <v>0</v>
      </c>
      <c r="V69" s="20" t="n">
        <v>0</v>
      </c>
      <c r="W69" s="18" t="n">
        <v>0</v>
      </c>
      <c r="X69" s="20" t="n">
        <v>0</v>
      </c>
      <c r="Y69" s="18" t="n">
        <v>0.47241689</v>
      </c>
      <c r="Z69" s="20" t="n">
        <v>0.33506711</v>
      </c>
    </row>
    <row r="70" spans="1:26">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row>
    <row r="71" spans="1:26">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row>
    <row r="72" spans="1:26">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row>
    <row r="73" spans="1:26">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row>
    <row r="74" spans="1:26">
      <c r="A74" s="15" t="s">
        <v>416</v>
      </c>
      <c r="B74" s="17" t="n">
        <v>2239</v>
      </c>
      <c r="C74" s="18">
        <f>(1862.0/B74*100)</f>
        <v/>
      </c>
      <c r="D74" s="19" t="n">
        <v>377</v>
      </c>
      <c r="E74" s="18" t="n">
        <v>32.56999307</v>
      </c>
      <c r="F74" s="20" t="n">
        <v>2.71941246</v>
      </c>
      <c r="G74" s="18" t="n">
        <v>8.04728764</v>
      </c>
      <c r="H74" s="20" t="n">
        <v>1.61456503</v>
      </c>
      <c r="I74" s="18" t="n">
        <v>0</v>
      </c>
      <c r="J74" s="20" t="n">
        <v>0</v>
      </c>
      <c r="K74" s="18" t="n">
        <v>0.09877589000000001</v>
      </c>
      <c r="L74" s="20" t="n">
        <v>0.0989399</v>
      </c>
      <c r="M74" s="18" t="n">
        <v>0.55791089</v>
      </c>
      <c r="N74" s="20" t="n">
        <v>0.42590605</v>
      </c>
      <c r="O74" s="18" t="n">
        <v>0.8323269</v>
      </c>
      <c r="P74" s="20" t="n">
        <v>0.42618033</v>
      </c>
      <c r="Q74" s="18" t="s">
        <v>349</v>
      </c>
      <c r="R74" s="20" t="s">
        <v>349</v>
      </c>
      <c r="S74" s="18" t="n">
        <v>24.91136646</v>
      </c>
      <c r="T74" s="20" t="n">
        <v>2.32939778</v>
      </c>
      <c r="U74" s="18" t="n">
        <v>0</v>
      </c>
      <c r="V74" s="20" t="n">
        <v>0</v>
      </c>
      <c r="W74" s="18" t="n">
        <v>0</v>
      </c>
      <c r="X74" s="20" t="n">
        <v>0</v>
      </c>
      <c r="Y74" s="18" t="n">
        <v>32.98233915</v>
      </c>
      <c r="Z74" s="20" t="n">
        <v>2.79992783</v>
      </c>
    </row>
    <row r="75" spans="1:26">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row>
    <row r="76" spans="1:26">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row>
    <row r="77" spans="1:26">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row>
    <row r="78" spans="1:26">
      <c r="A78" s="15" t="s">
        <v>420</v>
      </c>
      <c r="B78" s="17" t="n">
        <v>2786</v>
      </c>
      <c r="C78" s="18">
        <f>(2329.0/B78*100)</f>
        <v/>
      </c>
      <c r="D78" s="19" t="n">
        <v>457</v>
      </c>
      <c r="E78" s="18" t="n">
        <v>33.91149101</v>
      </c>
      <c r="F78" s="20" t="n">
        <v>2.23572092</v>
      </c>
      <c r="G78" s="18" t="n">
        <v>33.25454847</v>
      </c>
      <c r="H78" s="20" t="n">
        <v>2.3491963</v>
      </c>
      <c r="I78" s="18" t="n">
        <v>0</v>
      </c>
      <c r="J78" s="20" t="n">
        <v>0</v>
      </c>
      <c r="K78" s="18" t="n">
        <v>2.88133289</v>
      </c>
      <c r="L78" s="20" t="n">
        <v>0.82332228</v>
      </c>
      <c r="M78" s="18" t="n">
        <v>8.84995836</v>
      </c>
      <c r="N78" s="20" t="n">
        <v>1.38851545</v>
      </c>
      <c r="O78" s="18" t="n">
        <v>10.73593272</v>
      </c>
      <c r="P78" s="20" t="n">
        <v>1.46738557</v>
      </c>
      <c r="Q78" s="18" t="s">
        <v>349</v>
      </c>
      <c r="R78" s="20" t="s">
        <v>349</v>
      </c>
      <c r="S78" s="18" t="n">
        <v>0.15221896</v>
      </c>
      <c r="T78" s="20" t="n">
        <v>0.15247401</v>
      </c>
      <c r="U78" s="18" t="n">
        <v>0</v>
      </c>
      <c r="V78" s="20" t="n">
        <v>0</v>
      </c>
      <c r="W78" s="18" t="n">
        <v>0</v>
      </c>
      <c r="X78" s="20" t="n">
        <v>0</v>
      </c>
      <c r="Y78" s="18" t="n">
        <v>10.21451757</v>
      </c>
      <c r="Z78" s="20" t="n">
        <v>1.62348104</v>
      </c>
    </row>
    <row customHeight="1" ht="25" r="79" spans="1:26">
      <c r="A79" s="15" t="s">
        <v>421</v>
      </c>
      <c r="B79" s="17" t="n">
        <v>787</v>
      </c>
      <c r="C79" s="18">
        <f>(655.0/B79*100)</f>
        <v/>
      </c>
      <c r="D79" s="19" t="n">
        <v>132</v>
      </c>
      <c r="E79" s="18" t="n">
        <v>38.12450786</v>
      </c>
      <c r="F79" s="20" t="n">
        <v>4.29438035</v>
      </c>
      <c r="G79" s="18" t="n">
        <v>10.3752178</v>
      </c>
      <c r="H79" s="20" t="n">
        <v>3.35103825</v>
      </c>
      <c r="I79" s="18" t="n">
        <v>0</v>
      </c>
      <c r="J79" s="20" t="n">
        <v>0</v>
      </c>
      <c r="K79" s="18" t="n">
        <v>1.94523175</v>
      </c>
      <c r="L79" s="20" t="n">
        <v>1.13289682</v>
      </c>
      <c r="M79" s="18" t="n">
        <v>3.02686835</v>
      </c>
      <c r="N79" s="20" t="n">
        <v>1.57511653</v>
      </c>
      <c r="O79" s="18" t="n">
        <v>3.76193493</v>
      </c>
      <c r="P79" s="20" t="n">
        <v>1.47926419</v>
      </c>
      <c r="Q79" s="18" t="s">
        <v>349</v>
      </c>
      <c r="R79" s="20" t="s">
        <v>349</v>
      </c>
      <c r="S79" s="18" t="n">
        <v>16.29890955</v>
      </c>
      <c r="T79" s="20" t="n">
        <v>3.84097769</v>
      </c>
      <c r="U79" s="18" t="n">
        <v>0</v>
      </c>
      <c r="V79" s="20" t="n">
        <v>0</v>
      </c>
      <c r="W79" s="18" t="n">
        <v>0</v>
      </c>
      <c r="X79" s="20" t="n">
        <v>0</v>
      </c>
      <c r="Y79" s="18" t="n">
        <v>26.46732976</v>
      </c>
      <c r="Z79" s="20" t="n">
        <v>4.07477723</v>
      </c>
    </row>
    <row r="80" spans="1:26">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row>
    <row r="81" spans="1:26">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row>
    <row r="82" spans="1:26">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row>
    <row r="83" spans="1:26">
      <c r="A83" s="3" t="s">
        <v>425</v>
      </c>
    </row>
    <row r="84" spans="1:26">
      <c r="A84" s="23" t="s">
        <v>426</v>
      </c>
    </row>
    <row r="85" spans="1:26">
      <c r="A85" s="23" t="s">
        <v>427</v>
      </c>
    </row>
    <row customHeight="1" ht="30" r="86" spans="1:26">
      <c r="A86" s="23" t="s">
        <v>428</v>
      </c>
    </row>
    <row customHeight="1" ht="30" r="87" spans="1:26">
      <c r="A87" s="23" t="s">
        <v>424</v>
      </c>
    </row>
    <row customHeight="1" ht="30" r="88" spans="1:26">
      <c r="A88" s="23" t="s">
        <v>429</v>
      </c>
    </row>
    <row customHeight="1" ht="30" r="89" spans="1:26">
      <c r="A89" s="23" t="s">
        <v>430</v>
      </c>
    </row>
    <row customHeight="1" ht="30" r="90" spans="1:26">
      <c r="A90" s="23" t="s">
        <v>431</v>
      </c>
    </row>
    <row customHeight="1" ht="30" r="91" spans="1:26">
      <c r="A91" s="23" t="s">
        <v>432</v>
      </c>
    </row>
    <row customHeight="1" ht="30" r="92" spans="1:26">
      <c r="A92" s="23" t="s">
        <v>433</v>
      </c>
    </row>
    <row customHeight="1" ht="30" r="93" spans="1:26">
      <c r="A93" s="23" t="s">
        <v>434</v>
      </c>
    </row>
    <row customHeight="1" ht="30" r="94" spans="1:26">
      <c r="A94" s="23" t="s">
        <v>435</v>
      </c>
    </row>
    <row customHeight="1" ht="30" r="95" spans="1:26">
      <c r="A95" s="23" t="s">
        <v>436</v>
      </c>
    </row>
    <row customHeight="1" ht="30" r="96" spans="1:26">
      <c r="A96" s="23" t="s">
        <v>437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(2090.0/B44*100)</f>
        <v/>
      </c>
      <c r="D44" s="19" t="n">
        <v>434</v>
      </c>
      <c r="E44" s="18" t="n">
        <v>49.13073075</v>
      </c>
      <c r="F44" s="20" t="n">
        <v>2.97066561</v>
      </c>
      <c r="G44" s="18" t="n">
        <v>14.97647493</v>
      </c>
      <c r="H44" s="20" t="n">
        <v>1.82678811</v>
      </c>
      <c r="I44" s="18" t="s">
        <v>349</v>
      </c>
      <c r="J44" s="20" t="s">
        <v>349</v>
      </c>
      <c r="K44" s="18" t="n">
        <v>34.41533159</v>
      </c>
      <c r="L44" s="20" t="n">
        <v>2.90198758</v>
      </c>
      <c r="M44" s="18" t="n">
        <v>0</v>
      </c>
      <c r="N44" s="20" t="n">
        <v>0</v>
      </c>
      <c r="O44" s="18" t="n">
        <v>1.47746273</v>
      </c>
      <c r="P44" s="20" t="n">
        <v>0.67548241</v>
      </c>
      <c r="Q44" s="18" t="n">
        <v>0</v>
      </c>
      <c r="R44" s="20" t="n">
        <v>0</v>
      </c>
    </row>
    <row r="45" spans="1:18">
      <c r="A45" s="15" t="s">
        <v>387</v>
      </c>
      <c r="B45" s="17" t="n">
        <v>2849</v>
      </c>
      <c r="C45" s="18">
        <f>(2395.0/B45*100)</f>
        <v/>
      </c>
      <c r="D45" s="19" t="n">
        <v>454</v>
      </c>
      <c r="E45" s="18" t="n">
        <v>63.89381006</v>
      </c>
      <c r="F45" s="20" t="n">
        <v>2.42380737</v>
      </c>
      <c r="G45" s="18" t="n">
        <v>2.40079184</v>
      </c>
      <c r="H45" s="20" t="n">
        <v>0.69761469</v>
      </c>
      <c r="I45" s="18" t="s">
        <v>349</v>
      </c>
      <c r="J45" s="20" t="s">
        <v>349</v>
      </c>
      <c r="K45" s="18" t="n">
        <v>25.83435746</v>
      </c>
      <c r="L45" s="20" t="n">
        <v>2.13320965</v>
      </c>
      <c r="M45" s="18" t="n">
        <v>3.50589484</v>
      </c>
      <c r="N45" s="20" t="n">
        <v>1.23437295</v>
      </c>
      <c r="O45" s="18" t="n">
        <v>4.3651458</v>
      </c>
      <c r="P45" s="20" t="n">
        <v>0.97618381</v>
      </c>
      <c r="Q45" s="18" t="n">
        <v>0</v>
      </c>
      <c r="R45" s="20" t="n">
        <v>0</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(2503.0/B49*100)</f>
        <v/>
      </c>
      <c r="D49" s="19" t="n">
        <v>515</v>
      </c>
      <c r="E49" s="18" t="n">
        <v>62.67581202</v>
      </c>
      <c r="F49" s="20" t="n">
        <v>2.20521688</v>
      </c>
      <c r="G49" s="18" t="n">
        <v>20.37672804</v>
      </c>
      <c r="H49" s="20" t="n">
        <v>1.98135736</v>
      </c>
      <c r="I49" s="18" t="s">
        <v>349</v>
      </c>
      <c r="J49" s="20" t="s">
        <v>349</v>
      </c>
      <c r="K49" s="18" t="n">
        <v>16.94745994</v>
      </c>
      <c r="L49" s="20" t="n">
        <v>2.21731753</v>
      </c>
      <c r="M49" s="18" t="n">
        <v>0</v>
      </c>
      <c r="N49" s="20" t="n">
        <v>0</v>
      </c>
      <c r="O49" s="18" t="n">
        <v>0</v>
      </c>
      <c r="P49" s="20" t="n">
        <v>0</v>
      </c>
      <c r="Q49" s="18" t="n">
        <v>0</v>
      </c>
      <c r="R49" s="20" t="n">
        <v>0</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(2297.0/B55*100)</f>
        <v/>
      </c>
      <c r="D55" s="19" t="n">
        <v>462</v>
      </c>
      <c r="E55" s="18" t="n">
        <v>55.15577099</v>
      </c>
      <c r="F55" s="20" t="n">
        <v>2.44390857</v>
      </c>
      <c r="G55" s="18" t="n">
        <v>16.47860545</v>
      </c>
      <c r="H55" s="20" t="n">
        <v>1.87886609</v>
      </c>
      <c r="I55" s="18" t="s">
        <v>349</v>
      </c>
      <c r="J55" s="20" t="s">
        <v>349</v>
      </c>
      <c r="K55" s="18" t="n">
        <v>25.26823221</v>
      </c>
      <c r="L55" s="20" t="n">
        <v>2.17929655</v>
      </c>
      <c r="M55" s="18" t="n">
        <v>0</v>
      </c>
      <c r="N55" s="20" t="n">
        <v>0</v>
      </c>
      <c r="O55" s="18" t="n">
        <v>3.09739135</v>
      </c>
      <c r="P55" s="20" t="n">
        <v>0.74159255</v>
      </c>
      <c r="Q55" s="18" t="n">
        <v>0</v>
      </c>
      <c r="R55" s="20" t="n">
        <v>0</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(2930.0/B58*100)</f>
        <v/>
      </c>
      <c r="D58" s="19" t="n">
        <v>600</v>
      </c>
      <c r="E58" s="18" t="n">
        <v>65.94588984000001</v>
      </c>
      <c r="F58" s="20" t="n">
        <v>2.45393031</v>
      </c>
      <c r="G58" s="18" t="n">
        <v>11.28679932</v>
      </c>
      <c r="H58" s="20" t="n">
        <v>1.67456964</v>
      </c>
      <c r="I58" s="18" t="s">
        <v>349</v>
      </c>
      <c r="J58" s="20" t="s">
        <v>349</v>
      </c>
      <c r="K58" s="18" t="n">
        <v>18.21832076</v>
      </c>
      <c r="L58" s="20" t="n">
        <v>2.30940128</v>
      </c>
      <c r="M58" s="18" t="n">
        <v>0</v>
      </c>
      <c r="N58" s="20" t="n">
        <v>0</v>
      </c>
      <c r="O58" s="18" t="n">
        <v>4.54899008</v>
      </c>
      <c r="P58" s="20" t="n">
        <v>0.92763703</v>
      </c>
      <c r="Q58" s="18" t="n">
        <v>0</v>
      </c>
      <c r="R58" s="20" t="n">
        <v>0</v>
      </c>
    </row>
    <row r="59" spans="1:18">
      <c r="A59" s="15" t="s">
        <v>401</v>
      </c>
      <c r="B59" s="17" t="n">
        <v>2548</v>
      </c>
      <c r="C59" s="18">
        <f>(2118.0/B59*100)</f>
        <v/>
      </c>
      <c r="D59" s="19" t="n">
        <v>430</v>
      </c>
      <c r="E59" s="18" t="n">
        <v>71.78503851000001</v>
      </c>
      <c r="F59" s="20" t="n">
        <v>2.93037274</v>
      </c>
      <c r="G59" s="18" t="n">
        <v>15.70154091</v>
      </c>
      <c r="H59" s="20" t="n">
        <v>2.51784368</v>
      </c>
      <c r="I59" s="18" t="s">
        <v>349</v>
      </c>
      <c r="J59" s="20" t="s">
        <v>349</v>
      </c>
      <c r="K59" s="18" t="n">
        <v>10.37663172</v>
      </c>
      <c r="L59" s="20" t="n">
        <v>1.57496884</v>
      </c>
      <c r="M59" s="18" t="n">
        <v>0.46450488</v>
      </c>
      <c r="N59" s="20" t="n">
        <v>0.32909772</v>
      </c>
      <c r="O59" s="18" t="n">
        <v>1.67228397</v>
      </c>
      <c r="P59" s="20" t="n">
        <v>0.64866835</v>
      </c>
      <c r="Q59" s="18" t="n">
        <v>0</v>
      </c>
      <c r="R59" s="20" t="n">
        <v>0</v>
      </c>
    </row>
    <row r="60" spans="1:18">
      <c r="A60" s="15" t="s">
        <v>402</v>
      </c>
      <c r="B60" s="17" t="n">
        <v>2095</v>
      </c>
      <c r="C60" s="18">
        <f>(1764.0/B60*100)</f>
        <v/>
      </c>
      <c r="D60" s="19" t="n">
        <v>331</v>
      </c>
      <c r="E60" s="18" t="n">
        <v>55.47435607</v>
      </c>
      <c r="F60" s="20" t="n">
        <v>3.04888051</v>
      </c>
      <c r="G60" s="18" t="n">
        <v>16.53009826</v>
      </c>
      <c r="H60" s="20" t="n">
        <v>2.23718275</v>
      </c>
      <c r="I60" s="18" t="s">
        <v>349</v>
      </c>
      <c r="J60" s="20" t="s">
        <v>349</v>
      </c>
      <c r="K60" s="18" t="n">
        <v>24.29870119</v>
      </c>
      <c r="L60" s="20" t="n">
        <v>2.51585968</v>
      </c>
      <c r="M60" s="18" t="n">
        <v>0</v>
      </c>
      <c r="N60" s="20" t="n">
        <v>0</v>
      </c>
      <c r="O60" s="18" t="n">
        <v>3.69684448</v>
      </c>
      <c r="P60" s="20" t="n">
        <v>1.34918645</v>
      </c>
      <c r="Q60" s="18" t="n">
        <v>0</v>
      </c>
      <c r="R60" s="20" t="n">
        <v>0</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(2368.0/B63*100)</f>
        <v/>
      </c>
      <c r="D63" s="19" t="n">
        <v>445</v>
      </c>
      <c r="E63" s="18" t="n">
        <v>65.6315391</v>
      </c>
      <c r="F63" s="20" t="n">
        <v>2.34211674</v>
      </c>
      <c r="G63" s="18" t="n">
        <v>14.15518781</v>
      </c>
      <c r="H63" s="20" t="n">
        <v>1.91884314</v>
      </c>
      <c r="I63" s="18" t="s">
        <v>349</v>
      </c>
      <c r="J63" s="20" t="s">
        <v>349</v>
      </c>
      <c r="K63" s="18" t="n">
        <v>19.6805329</v>
      </c>
      <c r="L63" s="20" t="n">
        <v>2.1059416</v>
      </c>
      <c r="M63" s="18" t="n">
        <v>0</v>
      </c>
      <c r="N63" s="20" t="n">
        <v>0</v>
      </c>
      <c r="O63" s="18" t="n">
        <v>0.5327401899999999</v>
      </c>
      <c r="P63" s="20" t="n">
        <v>0.40394062</v>
      </c>
      <c r="Q63" s="18" t="n">
        <v>0</v>
      </c>
      <c r="R63" s="20" t="n">
        <v>0</v>
      </c>
    </row>
    <row r="64" spans="1:18">
      <c r="A64" s="15" t="s">
        <v>406</v>
      </c>
      <c r="B64" s="17" t="n">
        <v>1844</v>
      </c>
      <c r="C64" s="18">
        <f>(1531.0/B64*100)</f>
        <v/>
      </c>
      <c r="D64" s="19" t="n">
        <v>313</v>
      </c>
      <c r="E64" s="18" t="n">
        <v>52.73176135</v>
      </c>
      <c r="F64" s="20" t="n">
        <v>2.91174677</v>
      </c>
      <c r="G64" s="18" t="n">
        <v>32.48857739</v>
      </c>
      <c r="H64" s="20" t="n">
        <v>2.84225475</v>
      </c>
      <c r="I64" s="18" t="s">
        <v>349</v>
      </c>
      <c r="J64" s="20" t="s">
        <v>349</v>
      </c>
      <c r="K64" s="18" t="n">
        <v>13.18784322</v>
      </c>
      <c r="L64" s="20" t="n">
        <v>1.88565538</v>
      </c>
      <c r="M64" s="18" t="n">
        <v>0</v>
      </c>
      <c r="N64" s="20" t="n">
        <v>0</v>
      </c>
      <c r="O64" s="18" t="n">
        <v>1.59181804</v>
      </c>
      <c r="P64" s="20" t="n">
        <v>0.712112</v>
      </c>
      <c r="Q64" s="18" t="n">
        <v>0</v>
      </c>
      <c r="R64" s="20" t="n">
        <v>0</v>
      </c>
    </row>
    <row r="65" spans="1:18">
      <c r="A65" s="15" t="s">
        <v>407</v>
      </c>
      <c r="B65" s="17" t="n">
        <v>2691</v>
      </c>
      <c r="C65" s="18">
        <f>(2226.0/B65*100)</f>
        <v/>
      </c>
      <c r="D65" s="19" t="n">
        <v>465</v>
      </c>
      <c r="E65" s="18" t="n">
        <v>50.54708002</v>
      </c>
      <c r="F65" s="20" t="n">
        <v>2.46254655</v>
      </c>
      <c r="G65" s="18" t="n">
        <v>18.73179672</v>
      </c>
      <c r="H65" s="20" t="n">
        <v>1.92444148</v>
      </c>
      <c r="I65" s="18" t="s">
        <v>349</v>
      </c>
      <c r="J65" s="20" t="s">
        <v>349</v>
      </c>
      <c r="K65" s="18" t="n">
        <v>29.77550048</v>
      </c>
      <c r="L65" s="20" t="n">
        <v>2.08990656</v>
      </c>
      <c r="M65" s="18" t="n">
        <v>0.94562278</v>
      </c>
      <c r="N65" s="20" t="n">
        <v>0.42886375</v>
      </c>
      <c r="O65" s="18" t="n">
        <v>0</v>
      </c>
      <c r="P65" s="20" t="n">
        <v>0</v>
      </c>
      <c r="Q65" s="18" t="n">
        <v>0</v>
      </c>
      <c r="R65" s="20" t="n">
        <v>0</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(2021.0/B69*100)</f>
        <v/>
      </c>
      <c r="D69" s="19" t="n">
        <v>389</v>
      </c>
      <c r="E69" s="18" t="n">
        <v>78.97586101</v>
      </c>
      <c r="F69" s="20" t="n">
        <v>2.11741406</v>
      </c>
      <c r="G69" s="18" t="n">
        <v>16.05735654</v>
      </c>
      <c r="H69" s="20" t="n">
        <v>1.91829146</v>
      </c>
      <c r="I69" s="18" t="s">
        <v>349</v>
      </c>
      <c r="J69" s="20" t="s">
        <v>349</v>
      </c>
      <c r="K69" s="18" t="n">
        <v>4.96678246</v>
      </c>
      <c r="L69" s="20" t="n">
        <v>1.02095737</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(1862.0/B74*100)</f>
        <v/>
      </c>
      <c r="D74" s="19" t="n">
        <v>377</v>
      </c>
      <c r="E74" s="18" t="n">
        <v>51.6917355</v>
      </c>
      <c r="F74" s="20" t="n">
        <v>2.40896743</v>
      </c>
      <c r="G74" s="18" t="n">
        <v>19.38454215</v>
      </c>
      <c r="H74" s="20" t="n">
        <v>2.28685163</v>
      </c>
      <c r="I74" s="18" t="s">
        <v>349</v>
      </c>
      <c r="J74" s="20" t="s">
        <v>349</v>
      </c>
      <c r="K74" s="18" t="n">
        <v>28.46682161</v>
      </c>
      <c r="L74" s="20" t="n">
        <v>2.46306339</v>
      </c>
      <c r="M74" s="18" t="n">
        <v>0</v>
      </c>
      <c r="N74" s="20" t="n">
        <v>0</v>
      </c>
      <c r="O74" s="18" t="n">
        <v>0.45690074</v>
      </c>
      <c r="P74" s="20" t="n">
        <v>0.35239194</v>
      </c>
      <c r="Q74" s="18" t="n">
        <v>0</v>
      </c>
      <c r="R74" s="20" t="n">
        <v>0</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(2329.0/B78*100)</f>
        <v/>
      </c>
      <c r="D78" s="19" t="n">
        <v>457</v>
      </c>
      <c r="E78" s="18" t="n">
        <v>67.29971181000001</v>
      </c>
      <c r="F78" s="20" t="n">
        <v>2.67932838</v>
      </c>
      <c r="G78" s="18" t="n">
        <v>30.05988773</v>
      </c>
      <c r="H78" s="20" t="n">
        <v>2.43379061</v>
      </c>
      <c r="I78" s="18" t="s">
        <v>349</v>
      </c>
      <c r="J78" s="20" t="s">
        <v>349</v>
      </c>
      <c r="K78" s="18" t="n">
        <v>0.15221896</v>
      </c>
      <c r="L78" s="20" t="n">
        <v>0.15247401</v>
      </c>
      <c r="M78" s="18" t="n">
        <v>0.30000511</v>
      </c>
      <c r="N78" s="20" t="n">
        <v>0.30017651</v>
      </c>
      <c r="O78" s="18" t="n">
        <v>2.18817639</v>
      </c>
      <c r="P78" s="20" t="n">
        <v>0.7313598</v>
      </c>
      <c r="Q78" s="18" t="n">
        <v>0</v>
      </c>
      <c r="R78" s="20" t="n">
        <v>0</v>
      </c>
    </row>
    <row customHeight="1" ht="25" r="79" spans="1:18">
      <c r="A79" s="15" t="s">
        <v>421</v>
      </c>
      <c r="B79" s="17" t="n">
        <v>787</v>
      </c>
      <c r="C79" s="18">
        <f>(655.0/B79*100)</f>
        <v/>
      </c>
      <c r="D79" s="19" t="n">
        <v>132</v>
      </c>
      <c r="E79" s="18" t="n">
        <v>48.76516544</v>
      </c>
      <c r="F79" s="20" t="n">
        <v>3.43918654</v>
      </c>
      <c r="G79" s="18" t="n">
        <v>31.82975952</v>
      </c>
      <c r="H79" s="20" t="n">
        <v>3.75360188</v>
      </c>
      <c r="I79" s="18" t="s">
        <v>349</v>
      </c>
      <c r="J79" s="20" t="s">
        <v>349</v>
      </c>
      <c r="K79" s="18" t="n">
        <v>19.40507504</v>
      </c>
      <c r="L79" s="20" t="n">
        <v>4.17486635</v>
      </c>
      <c r="M79" s="18" t="n">
        <v>0</v>
      </c>
      <c r="N79" s="20" t="n">
        <v>0</v>
      </c>
      <c r="O79" s="18" t="n">
        <v>0</v>
      </c>
      <c r="P79" s="20" t="n">
        <v>0</v>
      </c>
      <c r="Q79" s="18" t="n">
        <v>0</v>
      </c>
      <c r="R79" s="20" t="n">
        <v>0</v>
      </c>
    </row>
    <row r="80" spans="1:18">
      <c r="A80" s="15" t="s">
        <v>422</v>
      </c>
      <c r="B80" s="17" t="n">
        <v>3798</v>
      </c>
      <c r="C80" s="18">
        <f>(3190.0/B80*100)</f>
        <v/>
      </c>
      <c r="D80" s="19" t="n">
        <v>608</v>
      </c>
      <c r="E80" s="18" t="n">
        <v>52.30975071</v>
      </c>
      <c r="F80" s="20" t="n">
        <v>2.65680504</v>
      </c>
      <c r="G80" s="18" t="n">
        <v>46.29677409</v>
      </c>
      <c r="H80" s="20" t="n">
        <v>2.58544105</v>
      </c>
      <c r="I80" s="18" t="s">
        <v>349</v>
      </c>
      <c r="J80" s="20" t="s">
        <v>349</v>
      </c>
      <c r="K80" s="18" t="n">
        <v>1.38082349</v>
      </c>
      <c r="L80" s="20" t="n">
        <v>0.59427047</v>
      </c>
      <c r="M80" s="18" t="n">
        <v>0.01265172</v>
      </c>
      <c r="N80" s="20" t="n">
        <v>0.00897504</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47.34728125</v>
      </c>
      <c r="F44" s="20" t="n">
        <v>2.51124154</v>
      </c>
      <c r="G44" s="18" t="n">
        <v>36.42223689</v>
      </c>
      <c r="H44" s="20" t="n">
        <v>2.32204243</v>
      </c>
      <c r="I44" s="18" t="s">
        <v>349</v>
      </c>
      <c r="J44" s="20" t="s">
        <v>349</v>
      </c>
      <c r="K44" s="18" t="n">
        <v>3.02429113</v>
      </c>
      <c r="L44" s="20" t="n">
        <v>1.12616535</v>
      </c>
      <c r="M44" s="18" t="n">
        <v>0</v>
      </c>
      <c r="N44" s="20" t="n">
        <v>0</v>
      </c>
      <c r="O44" s="18" t="n">
        <v>0.20741111</v>
      </c>
      <c r="P44" s="20" t="n">
        <v>0.21702928</v>
      </c>
      <c r="Q44" s="18" t="n">
        <v>12.99877963</v>
      </c>
      <c r="R44" s="20" t="n">
        <v>2.08078669</v>
      </c>
    </row>
    <row r="45" spans="1:18">
      <c r="A45" s="15" t="s">
        <v>387</v>
      </c>
      <c r="B45" s="17" t="n">
        <v>2849</v>
      </c>
      <c r="C45" s="18">
        <f>(2404.0/B45*100)</f>
        <v/>
      </c>
      <c r="D45" s="19" t="n">
        <v>445</v>
      </c>
      <c r="E45" s="18" t="n">
        <v>58.98892399</v>
      </c>
      <c r="F45" s="20" t="n">
        <v>2.40270469</v>
      </c>
      <c r="G45" s="18" t="n">
        <v>22.71413355</v>
      </c>
      <c r="H45" s="20" t="n">
        <v>1.91257446</v>
      </c>
      <c r="I45" s="18" t="s">
        <v>349</v>
      </c>
      <c r="J45" s="20" t="s">
        <v>349</v>
      </c>
      <c r="K45" s="18" t="n">
        <v>4.94926717</v>
      </c>
      <c r="L45" s="20" t="n">
        <v>1.18175246</v>
      </c>
      <c r="M45" s="18" t="n">
        <v>0.61343757</v>
      </c>
      <c r="N45" s="20" t="n">
        <v>0.41155185</v>
      </c>
      <c r="O45" s="18" t="n">
        <v>1.73821039</v>
      </c>
      <c r="P45" s="20" t="n">
        <v>0.99610418</v>
      </c>
      <c r="Q45" s="18" t="n">
        <v>10.99602734</v>
      </c>
      <c r="R45" s="20" t="n">
        <v>1.61805397</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47.66859536</v>
      </c>
      <c r="F49" s="20" t="n">
        <v>3.01838488</v>
      </c>
      <c r="G49" s="18" t="n">
        <v>44.36448884</v>
      </c>
      <c r="H49" s="20" t="n">
        <v>3.12260475</v>
      </c>
      <c r="I49" s="18" t="s">
        <v>349</v>
      </c>
      <c r="J49" s="20" t="s">
        <v>349</v>
      </c>
      <c r="K49" s="18" t="n">
        <v>3.51830974</v>
      </c>
      <c r="L49" s="20" t="n">
        <v>1.16881495</v>
      </c>
      <c r="M49" s="18" t="n">
        <v>0</v>
      </c>
      <c r="N49" s="20" t="n">
        <v>0</v>
      </c>
      <c r="O49" s="18" t="n">
        <v>0.31872603</v>
      </c>
      <c r="P49" s="20" t="n">
        <v>0.2937911</v>
      </c>
      <c r="Q49" s="18" t="n">
        <v>4.12988003</v>
      </c>
      <c r="R49" s="20" t="n">
        <v>1.29733802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60.63650444</v>
      </c>
      <c r="F55" s="20" t="n">
        <v>2.64448218</v>
      </c>
      <c r="G55" s="18" t="n">
        <v>33.24667559</v>
      </c>
      <c r="H55" s="20" t="n">
        <v>2.5469925</v>
      </c>
      <c r="I55" s="18" t="s">
        <v>349</v>
      </c>
      <c r="J55" s="20" t="s">
        <v>349</v>
      </c>
      <c r="K55" s="18" t="n">
        <v>1.60263586</v>
      </c>
      <c r="L55" s="20" t="n">
        <v>0.6676558</v>
      </c>
      <c r="M55" s="18" t="n">
        <v>0</v>
      </c>
      <c r="N55" s="20" t="n">
        <v>0</v>
      </c>
      <c r="O55" s="18" t="n">
        <v>0.19694398</v>
      </c>
      <c r="P55" s="20" t="n">
        <v>0.19613852</v>
      </c>
      <c r="Q55" s="18" t="n">
        <v>4.31724014</v>
      </c>
      <c r="R55" s="20" t="n">
        <v>1.0025162</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65.92950552000001</v>
      </c>
      <c r="F57" s="20" t="n">
        <v>2.47452034</v>
      </c>
      <c r="G57" s="18" t="n">
        <v>29.74782776</v>
      </c>
      <c r="H57" s="20" t="n">
        <v>2.39806422</v>
      </c>
      <c r="I57" s="18" t="s">
        <v>349</v>
      </c>
      <c r="J57" s="20" t="s">
        <v>349</v>
      </c>
      <c r="K57" s="18" t="n">
        <v>0.51288932</v>
      </c>
      <c r="L57" s="20" t="n">
        <v>0.31028113</v>
      </c>
      <c r="M57" s="18" t="n">
        <v>0.53852325</v>
      </c>
      <c r="N57" s="20" t="n">
        <v>0.40178435</v>
      </c>
      <c r="O57" s="18" t="n">
        <v>0</v>
      </c>
      <c r="P57" s="20" t="n">
        <v>0</v>
      </c>
      <c r="Q57" s="18" t="n">
        <v>3.27125415</v>
      </c>
      <c r="R57" s="20" t="n">
        <v>0.9270985</v>
      </c>
    </row>
    <row r="58" spans="1:18">
      <c r="A58" s="15" t="s">
        <v>400</v>
      </c>
      <c r="B58" s="17" t="n">
        <v>3530</v>
      </c>
      <c r="C58" s="18">
        <f>(2924.0/B58*100)</f>
        <v/>
      </c>
      <c r="D58" s="19" t="n">
        <v>606</v>
      </c>
      <c r="E58" s="18" t="n">
        <v>58.62503157</v>
      </c>
      <c r="F58" s="20" t="n">
        <v>2.35247425</v>
      </c>
      <c r="G58" s="18" t="n">
        <v>32.51078969</v>
      </c>
      <c r="H58" s="20" t="n">
        <v>2.2605202</v>
      </c>
      <c r="I58" s="18" t="s">
        <v>349</v>
      </c>
      <c r="J58" s="20" t="s">
        <v>349</v>
      </c>
      <c r="K58" s="18" t="n">
        <v>2.1077163</v>
      </c>
      <c r="L58" s="20" t="n">
        <v>0.71419628</v>
      </c>
      <c r="M58" s="18" t="n">
        <v>0</v>
      </c>
      <c r="N58" s="20" t="n">
        <v>0</v>
      </c>
      <c r="O58" s="18" t="n">
        <v>1.11603632</v>
      </c>
      <c r="P58" s="20" t="n">
        <v>0.5820891500000001</v>
      </c>
      <c r="Q58" s="18" t="n">
        <v>5.64042611</v>
      </c>
      <c r="R58" s="20" t="n">
        <v>0.88810913</v>
      </c>
    </row>
    <row r="59" spans="1:18">
      <c r="A59" s="15" t="s">
        <v>401</v>
      </c>
      <c r="B59" s="17" t="n">
        <v>2548</v>
      </c>
      <c r="C59" s="18">
        <f>(2140.0/B59*100)</f>
        <v/>
      </c>
      <c r="D59" s="19" t="n">
        <v>408</v>
      </c>
      <c r="E59" s="18" t="n">
        <v>63.79086974</v>
      </c>
      <c r="F59" s="20" t="n">
        <v>2.87567744</v>
      </c>
      <c r="G59" s="18" t="n">
        <v>32.21583022</v>
      </c>
      <c r="H59" s="20" t="n">
        <v>3.03147908</v>
      </c>
      <c r="I59" s="18" t="s">
        <v>349</v>
      </c>
      <c r="J59" s="20" t="s">
        <v>349</v>
      </c>
      <c r="K59" s="18" t="n">
        <v>0.62150207</v>
      </c>
      <c r="L59" s="20" t="n">
        <v>0.34506418</v>
      </c>
      <c r="M59" s="18" t="n">
        <v>0</v>
      </c>
      <c r="N59" s="20" t="n">
        <v>0</v>
      </c>
      <c r="O59" s="18" t="n">
        <v>0.15423747</v>
      </c>
      <c r="P59" s="20" t="n">
        <v>0.15339264</v>
      </c>
      <c r="Q59" s="18" t="n">
        <v>3.21756051</v>
      </c>
      <c r="R59" s="20" t="n">
        <v>0.91124282</v>
      </c>
    </row>
    <row r="60" spans="1:18">
      <c r="A60" s="15" t="s">
        <v>402</v>
      </c>
      <c r="B60" s="17" t="n">
        <v>2095</v>
      </c>
      <c r="C60" s="18">
        <f>(1760.0/B60*100)</f>
        <v/>
      </c>
      <c r="D60" s="19" t="n">
        <v>335</v>
      </c>
      <c r="E60" s="18" t="n">
        <v>35.15889379</v>
      </c>
      <c r="F60" s="20" t="n">
        <v>3.2954424</v>
      </c>
      <c r="G60" s="18" t="n">
        <v>53.51657304</v>
      </c>
      <c r="H60" s="20" t="n">
        <v>3.15911069</v>
      </c>
      <c r="I60" s="18" t="s">
        <v>349</v>
      </c>
      <c r="J60" s="20" t="s">
        <v>349</v>
      </c>
      <c r="K60" s="18" t="n">
        <v>1.93795073</v>
      </c>
      <c r="L60" s="20" t="n">
        <v>0.72548803</v>
      </c>
      <c r="M60" s="18" t="n">
        <v>0</v>
      </c>
      <c r="N60" s="20" t="n">
        <v>0</v>
      </c>
      <c r="O60" s="18" t="n">
        <v>0.48873819</v>
      </c>
      <c r="P60" s="20" t="n">
        <v>0.50591727</v>
      </c>
      <c r="Q60" s="18" t="n">
        <v>8.89784425</v>
      </c>
      <c r="R60" s="20" t="n">
        <v>2.00054748</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60.37746363</v>
      </c>
      <c r="F63" s="20" t="n">
        <v>2.35081619</v>
      </c>
      <c r="G63" s="18" t="n">
        <v>29.58202634</v>
      </c>
      <c r="H63" s="20" t="n">
        <v>2.25996383</v>
      </c>
      <c r="I63" s="18" t="s">
        <v>349</v>
      </c>
      <c r="J63" s="20" t="s">
        <v>349</v>
      </c>
      <c r="K63" s="18" t="n">
        <v>2.46840815</v>
      </c>
      <c r="L63" s="20" t="n">
        <v>0.7566385</v>
      </c>
      <c r="M63" s="18" t="n">
        <v>0</v>
      </c>
      <c r="N63" s="20" t="n">
        <v>0</v>
      </c>
      <c r="O63" s="18" t="n">
        <v>0.2950834</v>
      </c>
      <c r="P63" s="20" t="n">
        <v>0.29372769</v>
      </c>
      <c r="Q63" s="18" t="n">
        <v>7.27701848</v>
      </c>
      <c r="R63" s="20" t="n">
        <v>1.20389582</v>
      </c>
    </row>
    <row r="64" spans="1:18">
      <c r="A64" s="15" t="s">
        <v>406</v>
      </c>
      <c r="B64" s="17" t="n">
        <v>1844</v>
      </c>
      <c r="C64" s="18">
        <f>(1544.0/B64*100)</f>
        <v/>
      </c>
      <c r="D64" s="19" t="n">
        <v>300</v>
      </c>
      <c r="E64" s="18" t="n">
        <v>45.14084028</v>
      </c>
      <c r="F64" s="20" t="n">
        <v>2.83248085</v>
      </c>
      <c r="G64" s="18" t="n">
        <v>50.39532989</v>
      </c>
      <c r="H64" s="20" t="n">
        <v>2.82445292</v>
      </c>
      <c r="I64" s="18" t="s">
        <v>349</v>
      </c>
      <c r="J64" s="20" t="s">
        <v>349</v>
      </c>
      <c r="K64" s="18" t="n">
        <v>1.65516024</v>
      </c>
      <c r="L64" s="20" t="n">
        <v>0.74856373</v>
      </c>
      <c r="M64" s="18" t="n">
        <v>0</v>
      </c>
      <c r="N64" s="20" t="n">
        <v>0</v>
      </c>
      <c r="O64" s="18" t="n">
        <v>0.32783875</v>
      </c>
      <c r="P64" s="20" t="n">
        <v>0.32754476</v>
      </c>
      <c r="Q64" s="18" t="n">
        <v>2.48083083</v>
      </c>
      <c r="R64" s="20" t="n">
        <v>0.94917654</v>
      </c>
    </row>
    <row r="65" spans="1:18">
      <c r="A65" s="15" t="s">
        <v>407</v>
      </c>
      <c r="B65" s="17" t="n">
        <v>2691</v>
      </c>
      <c r="C65" s="18">
        <f>(2227.0/B65*100)</f>
        <v/>
      </c>
      <c r="D65" s="19" t="n">
        <v>464</v>
      </c>
      <c r="E65" s="18" t="n">
        <v>43.40464215</v>
      </c>
      <c r="F65" s="20" t="n">
        <v>2.48339536</v>
      </c>
      <c r="G65" s="18" t="n">
        <v>45.93610002</v>
      </c>
      <c r="H65" s="20" t="n">
        <v>2.53574019</v>
      </c>
      <c r="I65" s="18" t="s">
        <v>349</v>
      </c>
      <c r="J65" s="20" t="s">
        <v>349</v>
      </c>
      <c r="K65" s="18" t="n">
        <v>2.30200741</v>
      </c>
      <c r="L65" s="20" t="n">
        <v>0.65150432</v>
      </c>
      <c r="M65" s="18" t="n">
        <v>0.16991361</v>
      </c>
      <c r="N65" s="20" t="n">
        <v>0.16659754</v>
      </c>
      <c r="O65" s="18" t="n">
        <v>0</v>
      </c>
      <c r="P65" s="20" t="n">
        <v>0</v>
      </c>
      <c r="Q65" s="18" t="n">
        <v>8.18733681</v>
      </c>
      <c r="R65" s="20" t="n">
        <v>1.22338155</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57.06695629</v>
      </c>
      <c r="F69" s="20" t="n">
        <v>3.2222053</v>
      </c>
      <c r="G69" s="18" t="n">
        <v>42.93304371</v>
      </c>
      <c r="H69" s="20" t="n">
        <v>3.2222053</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51.26695724</v>
      </c>
      <c r="F74" s="20" t="n">
        <v>2.68637499</v>
      </c>
      <c r="G74" s="18" t="n">
        <v>37.14292996</v>
      </c>
      <c r="H74" s="20" t="n">
        <v>3.27843411</v>
      </c>
      <c r="I74" s="18" t="s">
        <v>349</v>
      </c>
      <c r="J74" s="20" t="s">
        <v>349</v>
      </c>
      <c r="K74" s="18" t="n">
        <v>5.73645919</v>
      </c>
      <c r="L74" s="20" t="n">
        <v>1.33636278</v>
      </c>
      <c r="M74" s="18" t="n">
        <v>0</v>
      </c>
      <c r="N74" s="20" t="n">
        <v>0</v>
      </c>
      <c r="O74" s="18" t="n">
        <v>0.25346215</v>
      </c>
      <c r="P74" s="20" t="n">
        <v>0.25412481</v>
      </c>
      <c r="Q74" s="18" t="n">
        <v>5.60019146</v>
      </c>
      <c r="R74" s="20" t="n">
        <v>1.60282089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36.35155081</v>
      </c>
      <c r="F78" s="20" t="n">
        <v>2.88150274</v>
      </c>
      <c r="G78" s="18" t="n">
        <v>63.64844919</v>
      </c>
      <c r="H78" s="20" t="n">
        <v>2.88150274</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(658.0/B79*100)</f>
        <v/>
      </c>
      <c r="D79" s="19" t="n">
        <v>129</v>
      </c>
      <c r="E79" s="18" t="n">
        <v>39.79331766</v>
      </c>
      <c r="F79" s="20" t="n">
        <v>4.58852323</v>
      </c>
      <c r="G79" s="18" t="n">
        <v>50.33122807</v>
      </c>
      <c r="H79" s="20" t="n">
        <v>4.71239365</v>
      </c>
      <c r="I79" s="18" t="s">
        <v>349</v>
      </c>
      <c r="J79" s="20" t="s">
        <v>349</v>
      </c>
      <c r="K79" s="18" t="n">
        <v>4.75827218</v>
      </c>
      <c r="L79" s="20" t="n">
        <v>2.4998464</v>
      </c>
      <c r="M79" s="18" t="n">
        <v>0</v>
      </c>
      <c r="N79" s="20" t="n">
        <v>0</v>
      </c>
      <c r="O79" s="18" t="n">
        <v>0</v>
      </c>
      <c r="P79" s="20" t="n">
        <v>0</v>
      </c>
      <c r="Q79" s="18" t="n">
        <v>5.11718209</v>
      </c>
      <c r="R79" s="20" t="n">
        <v>2.04351429</v>
      </c>
    </row>
    <row r="80" spans="1:18">
      <c r="A80" s="15" t="s">
        <v>422</v>
      </c>
      <c r="B80" s="17" t="n">
        <v>3798</v>
      </c>
      <c r="C80" s="18">
        <f>(3177.0/B80*100)</f>
        <v/>
      </c>
      <c r="D80" s="19" t="n">
        <v>621</v>
      </c>
      <c r="E80" s="18" t="n">
        <v>56.42518383</v>
      </c>
      <c r="F80" s="20" t="n">
        <v>2.61392771</v>
      </c>
      <c r="G80" s="18" t="n">
        <v>43.32649503</v>
      </c>
      <c r="H80" s="20" t="n">
        <v>2.62447605</v>
      </c>
      <c r="I80" s="18" t="s">
        <v>349</v>
      </c>
      <c r="J80" s="20" t="s">
        <v>349</v>
      </c>
      <c r="K80" s="18" t="n">
        <v>0</v>
      </c>
      <c r="L80" s="20" t="n">
        <v>0</v>
      </c>
      <c r="M80" s="18" t="n">
        <v>0</v>
      </c>
      <c r="N80" s="20" t="n">
        <v>0</v>
      </c>
      <c r="O80" s="18" t="n">
        <v>0</v>
      </c>
      <c r="P80" s="20" t="n">
        <v>0</v>
      </c>
      <c r="Q80" s="18" t="n">
        <v>0.24832115</v>
      </c>
      <c r="R80" s="20" t="n">
        <v>0.21701947</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55.32101961</v>
      </c>
      <c r="F44" s="20" t="n">
        <v>3.02366439</v>
      </c>
      <c r="G44" s="18" t="n">
        <v>36.67089792</v>
      </c>
      <c r="H44" s="20" t="n">
        <v>3.44641597</v>
      </c>
      <c r="I44" s="18" t="s">
        <v>349</v>
      </c>
      <c r="J44" s="20" t="s">
        <v>349</v>
      </c>
      <c r="K44" s="18" t="n">
        <v>3.02429113</v>
      </c>
      <c r="L44" s="20" t="n">
        <v>1.12616535</v>
      </c>
      <c r="M44" s="18" t="n">
        <v>0</v>
      </c>
      <c r="N44" s="20" t="n">
        <v>0</v>
      </c>
      <c r="O44" s="18" t="n">
        <v>0</v>
      </c>
      <c r="P44" s="20" t="n">
        <v>0</v>
      </c>
      <c r="Q44" s="18" t="n">
        <v>4.98379134</v>
      </c>
      <c r="R44" s="20" t="n">
        <v>1.21391576</v>
      </c>
    </row>
    <row r="45" spans="1:18">
      <c r="A45" s="15" t="s">
        <v>387</v>
      </c>
      <c r="B45" s="17" t="n">
        <v>2849</v>
      </c>
      <c r="C45" s="18">
        <f>(2404.0/B45*100)</f>
        <v/>
      </c>
      <c r="D45" s="19" t="n">
        <v>445</v>
      </c>
      <c r="E45" s="18" t="n">
        <v>75.46055919</v>
      </c>
      <c r="F45" s="20" t="n">
        <v>2.71407598</v>
      </c>
      <c r="G45" s="18" t="n">
        <v>15.72243018</v>
      </c>
      <c r="H45" s="20" t="n">
        <v>2.18430482</v>
      </c>
      <c r="I45" s="18" t="s">
        <v>349</v>
      </c>
      <c r="J45" s="20" t="s">
        <v>349</v>
      </c>
      <c r="K45" s="18" t="n">
        <v>4.94926717</v>
      </c>
      <c r="L45" s="20" t="n">
        <v>1.18175246</v>
      </c>
      <c r="M45" s="18" t="n">
        <v>0</v>
      </c>
      <c r="N45" s="20" t="n">
        <v>0</v>
      </c>
      <c r="O45" s="18" t="n">
        <v>0</v>
      </c>
      <c r="P45" s="20" t="n">
        <v>0</v>
      </c>
      <c r="Q45" s="18" t="n">
        <v>3.86774345</v>
      </c>
      <c r="R45" s="20" t="n">
        <v>0.98597968</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54.20691122</v>
      </c>
      <c r="F49" s="20" t="n">
        <v>2.73221861</v>
      </c>
      <c r="G49" s="18" t="n">
        <v>40.10810818</v>
      </c>
      <c r="H49" s="20" t="n">
        <v>2.76990481</v>
      </c>
      <c r="I49" s="18" t="s">
        <v>349</v>
      </c>
      <c r="J49" s="20" t="s">
        <v>349</v>
      </c>
      <c r="K49" s="18" t="n">
        <v>3.51830974</v>
      </c>
      <c r="L49" s="20" t="n">
        <v>1.16881495</v>
      </c>
      <c r="M49" s="18" t="n">
        <v>0</v>
      </c>
      <c r="N49" s="20" t="n">
        <v>0</v>
      </c>
      <c r="O49" s="18" t="n">
        <v>0</v>
      </c>
      <c r="P49" s="20" t="n">
        <v>0</v>
      </c>
      <c r="Q49" s="18" t="n">
        <v>2.16667086</v>
      </c>
      <c r="R49" s="20" t="n">
        <v>0.78271128</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61.05517759</v>
      </c>
      <c r="F55" s="20" t="n">
        <v>3.0025808</v>
      </c>
      <c r="G55" s="18" t="n">
        <v>34.61627495</v>
      </c>
      <c r="H55" s="20" t="n">
        <v>3.07926489</v>
      </c>
      <c r="I55" s="18" t="s">
        <v>349</v>
      </c>
      <c r="J55" s="20" t="s">
        <v>349</v>
      </c>
      <c r="K55" s="18" t="n">
        <v>1.60263586</v>
      </c>
      <c r="L55" s="20" t="n">
        <v>0.6676558</v>
      </c>
      <c r="M55" s="18" t="n">
        <v>0</v>
      </c>
      <c r="N55" s="20" t="n">
        <v>0</v>
      </c>
      <c r="O55" s="18" t="n">
        <v>0.18094756</v>
      </c>
      <c r="P55" s="20" t="n">
        <v>0.18048115</v>
      </c>
      <c r="Q55" s="18" t="n">
        <v>2.54496403</v>
      </c>
      <c r="R55" s="20" t="n">
        <v>0.64201214</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72.99930324</v>
      </c>
      <c r="F57" s="20" t="n">
        <v>2.35534701</v>
      </c>
      <c r="G57" s="18" t="n">
        <v>24.93780743</v>
      </c>
      <c r="H57" s="20" t="n">
        <v>2.30072578</v>
      </c>
      <c r="I57" s="18" t="s">
        <v>349</v>
      </c>
      <c r="J57" s="20" t="s">
        <v>349</v>
      </c>
      <c r="K57" s="18" t="n">
        <v>0.54487403</v>
      </c>
      <c r="L57" s="20" t="n">
        <v>0.31319544</v>
      </c>
      <c r="M57" s="18" t="n">
        <v>0.17950774</v>
      </c>
      <c r="N57" s="20" t="n">
        <v>0.17953255</v>
      </c>
      <c r="O57" s="18" t="n">
        <v>0</v>
      </c>
      <c r="P57" s="20" t="n">
        <v>0</v>
      </c>
      <c r="Q57" s="18" t="n">
        <v>1.33850757</v>
      </c>
      <c r="R57" s="20" t="n">
        <v>0.57007321</v>
      </c>
    </row>
    <row r="58" spans="1:18">
      <c r="A58" s="15" t="s">
        <v>400</v>
      </c>
      <c r="B58" s="17" t="n">
        <v>3530</v>
      </c>
      <c r="C58" s="18">
        <f>(2924.0/B58*100)</f>
        <v/>
      </c>
      <c r="D58" s="19" t="n">
        <v>606</v>
      </c>
      <c r="E58" s="18" t="n">
        <v>72.51613967999999</v>
      </c>
      <c r="F58" s="20" t="n">
        <v>2.228975</v>
      </c>
      <c r="G58" s="18" t="n">
        <v>21.07745894</v>
      </c>
      <c r="H58" s="20" t="n">
        <v>2.02774351</v>
      </c>
      <c r="I58" s="18" t="s">
        <v>349</v>
      </c>
      <c r="J58" s="20" t="s">
        <v>349</v>
      </c>
      <c r="K58" s="18" t="n">
        <v>2.1077163</v>
      </c>
      <c r="L58" s="20" t="n">
        <v>0.71419628</v>
      </c>
      <c r="M58" s="18" t="n">
        <v>0</v>
      </c>
      <c r="N58" s="20" t="n">
        <v>0</v>
      </c>
      <c r="O58" s="18" t="n">
        <v>0.08517791</v>
      </c>
      <c r="P58" s="20" t="n">
        <v>0.05988955</v>
      </c>
      <c r="Q58" s="18" t="n">
        <v>4.21350716</v>
      </c>
      <c r="R58" s="20" t="n">
        <v>1.02764418</v>
      </c>
    </row>
    <row r="59" spans="1:18">
      <c r="A59" s="15" t="s">
        <v>401</v>
      </c>
      <c r="B59" s="17" t="n">
        <v>2548</v>
      </c>
      <c r="C59" s="18">
        <f>(2140.0/B59*100)</f>
        <v/>
      </c>
      <c r="D59" s="19" t="n">
        <v>408</v>
      </c>
      <c r="E59" s="18" t="n">
        <v>75.54007633000001</v>
      </c>
      <c r="F59" s="20" t="n">
        <v>2.69000439</v>
      </c>
      <c r="G59" s="18" t="n">
        <v>19.87789946</v>
      </c>
      <c r="H59" s="20" t="n">
        <v>2.56330537</v>
      </c>
      <c r="I59" s="18" t="s">
        <v>349</v>
      </c>
      <c r="J59" s="20" t="s">
        <v>349</v>
      </c>
      <c r="K59" s="18" t="n">
        <v>0.62150207</v>
      </c>
      <c r="L59" s="20" t="n">
        <v>0.34506418</v>
      </c>
      <c r="M59" s="18" t="n">
        <v>0</v>
      </c>
      <c r="N59" s="20" t="n">
        <v>0</v>
      </c>
      <c r="O59" s="18" t="n">
        <v>0.07737466</v>
      </c>
      <c r="P59" s="20" t="n">
        <v>0.07716734</v>
      </c>
      <c r="Q59" s="18" t="n">
        <v>3.88314749</v>
      </c>
      <c r="R59" s="20" t="n">
        <v>1.02429212</v>
      </c>
    </row>
    <row r="60" spans="1:18">
      <c r="A60" s="15" t="s">
        <v>402</v>
      </c>
      <c r="B60" s="17" t="n">
        <v>2095</v>
      </c>
      <c r="C60" s="18">
        <f>(1760.0/B60*100)</f>
        <v/>
      </c>
      <c r="D60" s="19" t="n">
        <v>335</v>
      </c>
      <c r="E60" s="18" t="n">
        <v>65.69176594</v>
      </c>
      <c r="F60" s="20" t="n">
        <v>2.66946039</v>
      </c>
      <c r="G60" s="18" t="n">
        <v>27.4153602</v>
      </c>
      <c r="H60" s="20" t="n">
        <v>2.52424384</v>
      </c>
      <c r="I60" s="18" t="s">
        <v>349</v>
      </c>
      <c r="J60" s="20" t="s">
        <v>349</v>
      </c>
      <c r="K60" s="18" t="n">
        <v>1.93795073</v>
      </c>
      <c r="L60" s="20" t="n">
        <v>0.72548803</v>
      </c>
      <c r="M60" s="18" t="n">
        <v>0</v>
      </c>
      <c r="N60" s="20" t="n">
        <v>0</v>
      </c>
      <c r="O60" s="18" t="n">
        <v>1.08855815</v>
      </c>
      <c r="P60" s="20" t="n">
        <v>0.58707306</v>
      </c>
      <c r="Q60" s="18" t="n">
        <v>3.86636498</v>
      </c>
      <c r="R60" s="20" t="n">
        <v>1.17877559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65.2246767</v>
      </c>
      <c r="F63" s="20" t="n">
        <v>2.06799358</v>
      </c>
      <c r="G63" s="18" t="n">
        <v>27.52502151</v>
      </c>
      <c r="H63" s="20" t="n">
        <v>1.89181391</v>
      </c>
      <c r="I63" s="18" t="s">
        <v>349</v>
      </c>
      <c r="J63" s="20" t="s">
        <v>349</v>
      </c>
      <c r="K63" s="18" t="n">
        <v>2.76833095</v>
      </c>
      <c r="L63" s="20" t="n">
        <v>0.80464607</v>
      </c>
      <c r="M63" s="18" t="n">
        <v>0</v>
      </c>
      <c r="N63" s="20" t="n">
        <v>0</v>
      </c>
      <c r="O63" s="18" t="n">
        <v>0</v>
      </c>
      <c r="P63" s="20" t="n">
        <v>0</v>
      </c>
      <c r="Q63" s="18" t="n">
        <v>4.48197083</v>
      </c>
      <c r="R63" s="20" t="n">
        <v>0.8019955600000001</v>
      </c>
    </row>
    <row r="64" spans="1:18">
      <c r="A64" s="15" t="s">
        <v>406</v>
      </c>
      <c r="B64" s="17" t="n">
        <v>1844</v>
      </c>
      <c r="C64" s="18">
        <f>(1544.0/B64*100)</f>
        <v/>
      </c>
      <c r="D64" s="19" t="n">
        <v>300</v>
      </c>
      <c r="E64" s="18" t="n">
        <v>49.9513184</v>
      </c>
      <c r="F64" s="20" t="n">
        <v>2.86413936</v>
      </c>
      <c r="G64" s="18" t="n">
        <v>46.11685423</v>
      </c>
      <c r="H64" s="20" t="n">
        <v>2.87787655</v>
      </c>
      <c r="I64" s="18" t="s">
        <v>349</v>
      </c>
      <c r="J64" s="20" t="s">
        <v>349</v>
      </c>
      <c r="K64" s="18" t="n">
        <v>1.65516024</v>
      </c>
      <c r="L64" s="20" t="n">
        <v>0.74856373</v>
      </c>
      <c r="M64" s="18" t="n">
        <v>0</v>
      </c>
      <c r="N64" s="20" t="n">
        <v>0</v>
      </c>
      <c r="O64" s="18" t="n">
        <v>0</v>
      </c>
      <c r="P64" s="20" t="n">
        <v>0</v>
      </c>
      <c r="Q64" s="18" t="n">
        <v>2.27666713</v>
      </c>
      <c r="R64" s="20" t="n">
        <v>0.75921477</v>
      </c>
    </row>
    <row r="65" spans="1:18">
      <c r="A65" s="15" t="s">
        <v>407</v>
      </c>
      <c r="B65" s="17" t="n">
        <v>2691</v>
      </c>
      <c r="C65" s="18">
        <f>(2227.0/B65*100)</f>
        <v/>
      </c>
      <c r="D65" s="19" t="n">
        <v>464</v>
      </c>
      <c r="E65" s="18" t="n">
        <v>53.28379629</v>
      </c>
      <c r="F65" s="20" t="n">
        <v>2.73771259</v>
      </c>
      <c r="G65" s="18" t="n">
        <v>41.90095509</v>
      </c>
      <c r="H65" s="20" t="n">
        <v>2.70445724</v>
      </c>
      <c r="I65" s="18" t="s">
        <v>349</v>
      </c>
      <c r="J65" s="20" t="s">
        <v>349</v>
      </c>
      <c r="K65" s="18" t="n">
        <v>2.30200741</v>
      </c>
      <c r="L65" s="20" t="n">
        <v>0.65150432</v>
      </c>
      <c r="M65" s="18" t="n">
        <v>0.16991361</v>
      </c>
      <c r="N65" s="20" t="n">
        <v>0.16659754</v>
      </c>
      <c r="O65" s="18" t="n">
        <v>0</v>
      </c>
      <c r="P65" s="20" t="n">
        <v>0</v>
      </c>
      <c r="Q65" s="18" t="n">
        <v>2.34332761</v>
      </c>
      <c r="R65" s="20" t="n">
        <v>0.67692432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66.32889710000001</v>
      </c>
      <c r="F69" s="20" t="n">
        <v>2.3973275</v>
      </c>
      <c r="G69" s="18" t="n">
        <v>33.6711029</v>
      </c>
      <c r="H69" s="20" t="n">
        <v>2.3973275</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63.11755956</v>
      </c>
      <c r="F74" s="20" t="n">
        <v>2.96768957</v>
      </c>
      <c r="G74" s="18" t="n">
        <v>26.54949869</v>
      </c>
      <c r="H74" s="20" t="n">
        <v>2.32400016</v>
      </c>
      <c r="I74" s="18" t="s">
        <v>349</v>
      </c>
      <c r="J74" s="20" t="s">
        <v>349</v>
      </c>
      <c r="K74" s="18" t="n">
        <v>6.04117395</v>
      </c>
      <c r="L74" s="20" t="n">
        <v>1.35618401</v>
      </c>
      <c r="M74" s="18" t="n">
        <v>0</v>
      </c>
      <c r="N74" s="20" t="n">
        <v>0</v>
      </c>
      <c r="O74" s="18" t="n">
        <v>0</v>
      </c>
      <c r="P74" s="20" t="n">
        <v>0</v>
      </c>
      <c r="Q74" s="18" t="n">
        <v>4.2917678</v>
      </c>
      <c r="R74" s="20" t="n">
        <v>1.2850436</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28.54551167</v>
      </c>
      <c r="F78" s="20" t="n">
        <v>2.58966298</v>
      </c>
      <c r="G78" s="18" t="n">
        <v>71.45448833</v>
      </c>
      <c r="H78" s="20" t="n">
        <v>2.58966298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(658.0/B79*100)</f>
        <v/>
      </c>
      <c r="D79" s="19" t="n">
        <v>129</v>
      </c>
      <c r="E79" s="18" t="n">
        <v>33.22782513</v>
      </c>
      <c r="F79" s="20" t="n">
        <v>3.95842929</v>
      </c>
      <c r="G79" s="18" t="n">
        <v>61.6880968</v>
      </c>
      <c r="H79" s="20" t="n">
        <v>4.44861918</v>
      </c>
      <c r="I79" s="18" t="s">
        <v>349</v>
      </c>
      <c r="J79" s="20" t="s">
        <v>349</v>
      </c>
      <c r="K79" s="18" t="n">
        <v>4.75827218</v>
      </c>
      <c r="L79" s="20" t="n">
        <v>2.4998464</v>
      </c>
      <c r="M79" s="18" t="n">
        <v>0</v>
      </c>
      <c r="N79" s="20" t="n">
        <v>0</v>
      </c>
      <c r="O79" s="18" t="n">
        <v>0</v>
      </c>
      <c r="P79" s="20" t="n">
        <v>0</v>
      </c>
      <c r="Q79" s="18" t="n">
        <v>0.32580589</v>
      </c>
      <c r="R79" s="20" t="n">
        <v>0.32746256</v>
      </c>
    </row>
    <row r="80" spans="1:18">
      <c r="A80" s="15" t="s">
        <v>422</v>
      </c>
      <c r="B80" s="17" t="n">
        <v>3798</v>
      </c>
      <c r="C80" s="18">
        <f>(3177.0/B80*100)</f>
        <v/>
      </c>
      <c r="D80" s="19" t="n">
        <v>621</v>
      </c>
      <c r="E80" s="18" t="n">
        <v>48.48026453</v>
      </c>
      <c r="F80" s="20" t="n">
        <v>2.81203852</v>
      </c>
      <c r="G80" s="18" t="n">
        <v>51.51973547</v>
      </c>
      <c r="H80" s="20" t="n">
        <v>2.81203852</v>
      </c>
      <c r="I80" s="18" t="s">
        <v>349</v>
      </c>
      <c r="J80" s="20" t="s">
        <v>349</v>
      </c>
      <c r="K80" s="18" t="n">
        <v>0</v>
      </c>
      <c r="L80" s="20" t="n">
        <v>0</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18.36529172</v>
      </c>
      <c r="F44" s="20" t="n">
        <v>1.9601671</v>
      </c>
      <c r="G44" s="18" t="n">
        <v>51.18842614</v>
      </c>
      <c r="H44" s="20" t="n">
        <v>2.59061281</v>
      </c>
      <c r="I44" s="18" t="s">
        <v>349</v>
      </c>
      <c r="J44" s="20" t="s">
        <v>349</v>
      </c>
      <c r="K44" s="18" t="n">
        <v>3.75847426</v>
      </c>
      <c r="L44" s="20" t="n">
        <v>1.14798067</v>
      </c>
      <c r="M44" s="18" t="n">
        <v>0</v>
      </c>
      <c r="N44" s="20" t="n">
        <v>0</v>
      </c>
      <c r="O44" s="18" t="n">
        <v>0</v>
      </c>
      <c r="P44" s="20" t="n">
        <v>0</v>
      </c>
      <c r="Q44" s="18" t="n">
        <v>26.68780788</v>
      </c>
      <c r="R44" s="20" t="n">
        <v>2.27541714</v>
      </c>
    </row>
    <row r="45" spans="1:18">
      <c r="A45" s="15" t="s">
        <v>387</v>
      </c>
      <c r="B45" s="17" t="n">
        <v>2849</v>
      </c>
      <c r="C45" s="18">
        <f>(2404.0/B45*100)</f>
        <v/>
      </c>
      <c r="D45" s="19" t="n">
        <v>445</v>
      </c>
      <c r="E45" s="18" t="n">
        <v>38.06410525</v>
      </c>
      <c r="F45" s="20" t="n">
        <v>2.2354609</v>
      </c>
      <c r="G45" s="18" t="n">
        <v>25.39154858</v>
      </c>
      <c r="H45" s="20" t="n">
        <v>2.33387003</v>
      </c>
      <c r="I45" s="18" t="s">
        <v>349</v>
      </c>
      <c r="J45" s="20" t="s">
        <v>349</v>
      </c>
      <c r="K45" s="18" t="n">
        <v>5.72415459</v>
      </c>
      <c r="L45" s="20" t="n">
        <v>1.26888929</v>
      </c>
      <c r="M45" s="18" t="n">
        <v>0.2055757</v>
      </c>
      <c r="N45" s="20" t="n">
        <v>0.20762883</v>
      </c>
      <c r="O45" s="18" t="n">
        <v>0.2426548</v>
      </c>
      <c r="P45" s="20" t="n">
        <v>0.23910864</v>
      </c>
      <c r="Q45" s="18" t="n">
        <v>30.37196107</v>
      </c>
      <c r="R45" s="20" t="n">
        <v>2.23435615</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25.67761845</v>
      </c>
      <c r="F49" s="20" t="n">
        <v>2.46247022</v>
      </c>
      <c r="G49" s="18" t="n">
        <v>52.14637408</v>
      </c>
      <c r="H49" s="20" t="n">
        <v>2.93771463</v>
      </c>
      <c r="I49" s="18" t="s">
        <v>349</v>
      </c>
      <c r="J49" s="20" t="s">
        <v>349</v>
      </c>
      <c r="K49" s="18" t="n">
        <v>3.51830974</v>
      </c>
      <c r="L49" s="20" t="n">
        <v>1.16881495</v>
      </c>
      <c r="M49" s="18" t="n">
        <v>0</v>
      </c>
      <c r="N49" s="20" t="n">
        <v>0</v>
      </c>
      <c r="O49" s="18" t="n">
        <v>0</v>
      </c>
      <c r="P49" s="20" t="n">
        <v>0</v>
      </c>
      <c r="Q49" s="18" t="n">
        <v>18.65769773</v>
      </c>
      <c r="R49" s="20" t="n">
        <v>2.27505413</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20.87987089</v>
      </c>
      <c r="F55" s="20" t="n">
        <v>2.26970247</v>
      </c>
      <c r="G55" s="18" t="n">
        <v>39.6521234</v>
      </c>
      <c r="H55" s="20" t="n">
        <v>3.03916173</v>
      </c>
      <c r="I55" s="18" t="s">
        <v>349</v>
      </c>
      <c r="J55" s="20" t="s">
        <v>349</v>
      </c>
      <c r="K55" s="18" t="n">
        <v>1.96720857</v>
      </c>
      <c r="L55" s="20" t="n">
        <v>0.68856751</v>
      </c>
      <c r="M55" s="18" t="n">
        <v>0.18094756</v>
      </c>
      <c r="N55" s="20" t="n">
        <v>0.18048115</v>
      </c>
      <c r="O55" s="18" t="n">
        <v>0</v>
      </c>
      <c r="P55" s="20" t="n">
        <v>0</v>
      </c>
      <c r="Q55" s="18" t="n">
        <v>37.31984957</v>
      </c>
      <c r="R55" s="20" t="n">
        <v>2.51455179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48.80875904</v>
      </c>
      <c r="F57" s="20" t="n">
        <v>2.51893377</v>
      </c>
      <c r="G57" s="18" t="n">
        <v>24.66213819</v>
      </c>
      <c r="H57" s="20" t="n">
        <v>2.13510922</v>
      </c>
      <c r="I57" s="18" t="s">
        <v>349</v>
      </c>
      <c r="J57" s="20" t="s">
        <v>349</v>
      </c>
      <c r="K57" s="18" t="n">
        <v>0.7375165</v>
      </c>
      <c r="L57" s="20" t="n">
        <v>0.36678143</v>
      </c>
      <c r="M57" s="18" t="n">
        <v>0.17950774</v>
      </c>
      <c r="N57" s="20" t="n">
        <v>0.17953255</v>
      </c>
      <c r="O57" s="18" t="n">
        <v>0</v>
      </c>
      <c r="P57" s="20" t="n">
        <v>0</v>
      </c>
      <c r="Q57" s="18" t="n">
        <v>25.61207853</v>
      </c>
      <c r="R57" s="20" t="n">
        <v>2.45624604</v>
      </c>
    </row>
    <row r="58" spans="1:18">
      <c r="A58" s="15" t="s">
        <v>400</v>
      </c>
      <c r="B58" s="17" t="n">
        <v>3530</v>
      </c>
      <c r="C58" s="18">
        <f>(2924.0/B58*100)</f>
        <v/>
      </c>
      <c r="D58" s="19" t="n">
        <v>606</v>
      </c>
      <c r="E58" s="18" t="n">
        <v>50.94350375</v>
      </c>
      <c r="F58" s="20" t="n">
        <v>2.44361662</v>
      </c>
      <c r="G58" s="18" t="n">
        <v>23.27744296</v>
      </c>
      <c r="H58" s="20" t="n">
        <v>1.79025632</v>
      </c>
      <c r="I58" s="18" t="s">
        <v>349</v>
      </c>
      <c r="J58" s="20" t="s">
        <v>349</v>
      </c>
      <c r="K58" s="18" t="n">
        <v>2.28668538</v>
      </c>
      <c r="L58" s="20" t="n">
        <v>0.72383355</v>
      </c>
      <c r="M58" s="18" t="n">
        <v>0</v>
      </c>
      <c r="N58" s="20" t="n">
        <v>0</v>
      </c>
      <c r="O58" s="18" t="n">
        <v>0</v>
      </c>
      <c r="P58" s="20" t="n">
        <v>0</v>
      </c>
      <c r="Q58" s="18" t="n">
        <v>23.49236791</v>
      </c>
      <c r="R58" s="20" t="n">
        <v>2.31407082</v>
      </c>
    </row>
    <row r="59" spans="1:18">
      <c r="A59" s="15" t="s">
        <v>401</v>
      </c>
      <c r="B59" s="17" t="n">
        <v>2548</v>
      </c>
      <c r="C59" s="18">
        <f>(2140.0/B59*100)</f>
        <v/>
      </c>
      <c r="D59" s="19" t="n">
        <v>408</v>
      </c>
      <c r="E59" s="18" t="n">
        <v>24.49821307</v>
      </c>
      <c r="F59" s="20" t="n">
        <v>2.90600858</v>
      </c>
      <c r="G59" s="18" t="n">
        <v>33.15951444</v>
      </c>
      <c r="H59" s="20" t="n">
        <v>2.81214227</v>
      </c>
      <c r="I59" s="18" t="s">
        <v>349</v>
      </c>
      <c r="J59" s="20" t="s">
        <v>349</v>
      </c>
      <c r="K59" s="18" t="n">
        <v>0.62150207</v>
      </c>
      <c r="L59" s="20" t="n">
        <v>0.34506418</v>
      </c>
      <c r="M59" s="18" t="n">
        <v>0</v>
      </c>
      <c r="N59" s="20" t="n">
        <v>0</v>
      </c>
      <c r="O59" s="18" t="n">
        <v>0</v>
      </c>
      <c r="P59" s="20" t="n">
        <v>0</v>
      </c>
      <c r="Q59" s="18" t="n">
        <v>41.72077042</v>
      </c>
      <c r="R59" s="20" t="n">
        <v>2.96438263</v>
      </c>
    </row>
    <row r="60" spans="1:18">
      <c r="A60" s="15" t="s">
        <v>402</v>
      </c>
      <c r="B60" s="17" t="n">
        <v>2095</v>
      </c>
      <c r="C60" s="18">
        <f>(1760.0/B60*100)</f>
        <v/>
      </c>
      <c r="D60" s="19" t="n">
        <v>335</v>
      </c>
      <c r="E60" s="18" t="n">
        <v>23.79204186</v>
      </c>
      <c r="F60" s="20" t="n">
        <v>2.63432399</v>
      </c>
      <c r="G60" s="18" t="n">
        <v>35.29749457</v>
      </c>
      <c r="H60" s="20" t="n">
        <v>2.92995271</v>
      </c>
      <c r="I60" s="18" t="s">
        <v>349</v>
      </c>
      <c r="J60" s="20" t="s">
        <v>349</v>
      </c>
      <c r="K60" s="18" t="n">
        <v>2.61111114</v>
      </c>
      <c r="L60" s="20" t="n">
        <v>0.83236306</v>
      </c>
      <c r="M60" s="18" t="n">
        <v>0</v>
      </c>
      <c r="N60" s="20" t="n">
        <v>0</v>
      </c>
      <c r="O60" s="18" t="n">
        <v>0.51434159</v>
      </c>
      <c r="P60" s="20" t="n">
        <v>0.30148016</v>
      </c>
      <c r="Q60" s="18" t="n">
        <v>37.78501083</v>
      </c>
      <c r="R60" s="20" t="n">
        <v>2.68845422</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15.39414534</v>
      </c>
      <c r="F63" s="20" t="n">
        <v>1.6706524</v>
      </c>
      <c r="G63" s="18" t="n">
        <v>34.49036237</v>
      </c>
      <c r="H63" s="20" t="n">
        <v>1.83451887</v>
      </c>
      <c r="I63" s="18" t="s">
        <v>349</v>
      </c>
      <c r="J63" s="20" t="s">
        <v>349</v>
      </c>
      <c r="K63" s="18" t="n">
        <v>3.06601805</v>
      </c>
      <c r="L63" s="20" t="n">
        <v>0.82925368</v>
      </c>
      <c r="M63" s="18" t="n">
        <v>0</v>
      </c>
      <c r="N63" s="20" t="n">
        <v>0</v>
      </c>
      <c r="O63" s="18" t="n">
        <v>0</v>
      </c>
      <c r="P63" s="20" t="n">
        <v>0</v>
      </c>
      <c r="Q63" s="18" t="n">
        <v>47.04947424</v>
      </c>
      <c r="R63" s="20" t="n">
        <v>2.35997811</v>
      </c>
    </row>
    <row r="64" spans="1:18">
      <c r="A64" s="15" t="s">
        <v>406</v>
      </c>
      <c r="B64" s="17" t="n">
        <v>1844</v>
      </c>
      <c r="C64" s="18">
        <f>(1544.0/B64*100)</f>
        <v/>
      </c>
      <c r="D64" s="19" t="n">
        <v>300</v>
      </c>
      <c r="E64" s="18" t="n">
        <v>24.81398033</v>
      </c>
      <c r="F64" s="20" t="n">
        <v>2.4123422</v>
      </c>
      <c r="G64" s="18" t="n">
        <v>57.72189577</v>
      </c>
      <c r="H64" s="20" t="n">
        <v>2.75240555</v>
      </c>
      <c r="I64" s="18" t="s">
        <v>349</v>
      </c>
      <c r="J64" s="20" t="s">
        <v>349</v>
      </c>
      <c r="K64" s="18" t="n">
        <v>2.00594725</v>
      </c>
      <c r="L64" s="20" t="n">
        <v>0.83402132</v>
      </c>
      <c r="M64" s="18" t="n">
        <v>0</v>
      </c>
      <c r="N64" s="20" t="n">
        <v>0</v>
      </c>
      <c r="O64" s="18" t="n">
        <v>0</v>
      </c>
      <c r="P64" s="20" t="n">
        <v>0</v>
      </c>
      <c r="Q64" s="18" t="n">
        <v>15.45817664</v>
      </c>
      <c r="R64" s="20" t="n">
        <v>2.29357027</v>
      </c>
    </row>
    <row r="65" spans="1:18">
      <c r="A65" s="15" t="s">
        <v>407</v>
      </c>
      <c r="B65" s="17" t="n">
        <v>2691</v>
      </c>
      <c r="C65" s="18">
        <f>(2227.0/B65*100)</f>
        <v/>
      </c>
      <c r="D65" s="19" t="n">
        <v>464</v>
      </c>
      <c r="E65" s="18" t="n">
        <v>17.31713747</v>
      </c>
      <c r="F65" s="20" t="n">
        <v>1.63535937</v>
      </c>
      <c r="G65" s="18" t="n">
        <v>44.9367404</v>
      </c>
      <c r="H65" s="20" t="n">
        <v>2.43553794</v>
      </c>
      <c r="I65" s="18" t="s">
        <v>349</v>
      </c>
      <c r="J65" s="20" t="s">
        <v>349</v>
      </c>
      <c r="K65" s="18" t="n">
        <v>3.0293038</v>
      </c>
      <c r="L65" s="20" t="n">
        <v>0.75948297</v>
      </c>
      <c r="M65" s="18" t="n">
        <v>0</v>
      </c>
      <c r="N65" s="20" t="n">
        <v>0</v>
      </c>
      <c r="O65" s="18" t="n">
        <v>0</v>
      </c>
      <c r="P65" s="20" t="n">
        <v>0</v>
      </c>
      <c r="Q65" s="18" t="n">
        <v>34.71681834</v>
      </c>
      <c r="R65" s="20" t="n">
        <v>2.21736789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51.3264492</v>
      </c>
      <c r="F69" s="20" t="n">
        <v>2.90232172</v>
      </c>
      <c r="G69" s="18" t="n">
        <v>48.43077033</v>
      </c>
      <c r="H69" s="20" t="n">
        <v>2.88160483</v>
      </c>
      <c r="I69" s="18" t="s">
        <v>349</v>
      </c>
      <c r="J69" s="20" t="s">
        <v>349</v>
      </c>
      <c r="K69" s="18" t="n">
        <v>0</v>
      </c>
      <c r="L69" s="20" t="n">
        <v>0</v>
      </c>
      <c r="M69" s="18" t="n">
        <v>0</v>
      </c>
      <c r="N69" s="20" t="n">
        <v>0</v>
      </c>
      <c r="O69" s="18" t="n">
        <v>0</v>
      </c>
      <c r="P69" s="20" t="n">
        <v>0</v>
      </c>
      <c r="Q69" s="18" t="n">
        <v>0.24278047</v>
      </c>
      <c r="R69" s="20" t="n">
        <v>0.24329334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23.87854855</v>
      </c>
      <c r="F74" s="20" t="n">
        <v>2.73771842</v>
      </c>
      <c r="G74" s="18" t="n">
        <v>34.35228239</v>
      </c>
      <c r="H74" s="20" t="n">
        <v>2.55974845</v>
      </c>
      <c r="I74" s="18" t="s">
        <v>349</v>
      </c>
      <c r="J74" s="20" t="s">
        <v>349</v>
      </c>
      <c r="K74" s="18" t="n">
        <v>6.35072836</v>
      </c>
      <c r="L74" s="20" t="n">
        <v>1.38164183</v>
      </c>
      <c r="M74" s="18" t="n">
        <v>0</v>
      </c>
      <c r="N74" s="20" t="n">
        <v>0</v>
      </c>
      <c r="O74" s="18" t="n">
        <v>0</v>
      </c>
      <c r="P74" s="20" t="n">
        <v>0</v>
      </c>
      <c r="Q74" s="18" t="n">
        <v>35.4184407</v>
      </c>
      <c r="R74" s="20" t="n">
        <v>2.79992889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28.62683311</v>
      </c>
      <c r="F78" s="20" t="n">
        <v>2.68933054</v>
      </c>
      <c r="G78" s="18" t="n">
        <v>60.1790192</v>
      </c>
      <c r="H78" s="20" t="n">
        <v>3.23805186</v>
      </c>
      <c r="I78" s="18" t="s">
        <v>349</v>
      </c>
      <c r="J78" s="20" t="s">
        <v>349</v>
      </c>
      <c r="K78" s="18" t="n">
        <v>0</v>
      </c>
      <c r="L78" s="20" t="n">
        <v>0</v>
      </c>
      <c r="M78" s="18" t="n">
        <v>0</v>
      </c>
      <c r="N78" s="20" t="n">
        <v>0</v>
      </c>
      <c r="O78" s="18" t="n">
        <v>0</v>
      </c>
      <c r="P78" s="20" t="n">
        <v>0</v>
      </c>
      <c r="Q78" s="18" t="n">
        <v>11.19414769</v>
      </c>
      <c r="R78" s="20" t="n">
        <v>1.65472992</v>
      </c>
    </row>
    <row customHeight="1" ht="25" r="79" spans="1:18">
      <c r="A79" s="15" t="s">
        <v>421</v>
      </c>
      <c r="B79" s="17" t="n">
        <v>787</v>
      </c>
      <c r="C79" s="18">
        <f>(658.0/B79*100)</f>
        <v/>
      </c>
      <c r="D79" s="19" t="n">
        <v>129</v>
      </c>
      <c r="E79" s="18" t="n">
        <v>18.82549372</v>
      </c>
      <c r="F79" s="20" t="n">
        <v>4.45730024</v>
      </c>
      <c r="G79" s="18" t="n">
        <v>71.0825152</v>
      </c>
      <c r="H79" s="20" t="n">
        <v>5.74317347</v>
      </c>
      <c r="I79" s="18" t="s">
        <v>349</v>
      </c>
      <c r="J79" s="20" t="s">
        <v>349</v>
      </c>
      <c r="K79" s="18" t="n">
        <v>4.75827218</v>
      </c>
      <c r="L79" s="20" t="n">
        <v>2.4998464</v>
      </c>
      <c r="M79" s="18" t="n">
        <v>0</v>
      </c>
      <c r="N79" s="20" t="n">
        <v>0</v>
      </c>
      <c r="O79" s="18" t="n">
        <v>0</v>
      </c>
      <c r="P79" s="20" t="n">
        <v>0</v>
      </c>
      <c r="Q79" s="18" t="n">
        <v>5.3337189</v>
      </c>
      <c r="R79" s="20" t="n">
        <v>2.18350754</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26.98140955</v>
      </c>
      <c r="F44" s="20" t="n">
        <v>3.09315349</v>
      </c>
      <c r="G44" s="18" t="n">
        <v>63.94987098</v>
      </c>
      <c r="H44" s="20" t="n">
        <v>3.184508</v>
      </c>
      <c r="I44" s="18" t="s">
        <v>349</v>
      </c>
      <c r="J44" s="20" t="s">
        <v>349</v>
      </c>
      <c r="K44" s="18" t="n">
        <v>4.43469971</v>
      </c>
      <c r="L44" s="20" t="n">
        <v>1.17827924</v>
      </c>
      <c r="M44" s="18" t="n">
        <v>0</v>
      </c>
      <c r="N44" s="20" t="n">
        <v>0</v>
      </c>
      <c r="O44" s="18" t="n">
        <v>0.27058598</v>
      </c>
      <c r="P44" s="20" t="n">
        <v>0.26847489</v>
      </c>
      <c r="Q44" s="18" t="n">
        <v>4.36343378</v>
      </c>
      <c r="R44" s="20" t="n">
        <v>1.14486768</v>
      </c>
    </row>
    <row r="45" spans="1:18">
      <c r="A45" s="15" t="s">
        <v>387</v>
      </c>
      <c r="B45" s="17" t="n">
        <v>2849</v>
      </c>
      <c r="C45" s="18">
        <f>(2404.0/B45*100)</f>
        <v/>
      </c>
      <c r="D45" s="19" t="n">
        <v>445</v>
      </c>
      <c r="E45" s="18" t="n">
        <v>36.30112957</v>
      </c>
      <c r="F45" s="20" t="n">
        <v>2.43258072</v>
      </c>
      <c r="G45" s="18" t="n">
        <v>47.66859731</v>
      </c>
      <c r="H45" s="20" t="n">
        <v>2.44802884</v>
      </c>
      <c r="I45" s="18" t="s">
        <v>349</v>
      </c>
      <c r="J45" s="20" t="s">
        <v>349</v>
      </c>
      <c r="K45" s="18" t="n">
        <v>5.98224409</v>
      </c>
      <c r="L45" s="20" t="n">
        <v>1.35501417</v>
      </c>
      <c r="M45" s="18" t="n">
        <v>1.22137401</v>
      </c>
      <c r="N45" s="20" t="n">
        <v>0.49935745</v>
      </c>
      <c r="O45" s="18" t="n">
        <v>3.73279594</v>
      </c>
      <c r="P45" s="20" t="n">
        <v>1.21516946</v>
      </c>
      <c r="Q45" s="18" t="n">
        <v>5.09385908</v>
      </c>
      <c r="R45" s="20" t="n">
        <v>1.16332487</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24.72732129</v>
      </c>
      <c r="F49" s="20" t="n">
        <v>2.54044457</v>
      </c>
      <c r="G49" s="18" t="n">
        <v>68.31394667000001</v>
      </c>
      <c r="H49" s="20" t="n">
        <v>2.75019765</v>
      </c>
      <c r="I49" s="18" t="s">
        <v>349</v>
      </c>
      <c r="J49" s="20" t="s">
        <v>349</v>
      </c>
      <c r="K49" s="18" t="n">
        <v>3.79511269</v>
      </c>
      <c r="L49" s="20" t="n">
        <v>1.19592568</v>
      </c>
      <c r="M49" s="18" t="n">
        <v>0</v>
      </c>
      <c r="N49" s="20" t="n">
        <v>0</v>
      </c>
      <c r="O49" s="18" t="n">
        <v>0.5889223099999999</v>
      </c>
      <c r="P49" s="20" t="n">
        <v>0.4313601</v>
      </c>
      <c r="Q49" s="18" t="n">
        <v>2.57469705</v>
      </c>
      <c r="R49" s="20" t="n">
        <v>0.83978662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29.36117784</v>
      </c>
      <c r="F55" s="20" t="n">
        <v>2.13864721</v>
      </c>
      <c r="G55" s="18" t="n">
        <v>66.17789645000001</v>
      </c>
      <c r="H55" s="20" t="n">
        <v>2.38649956</v>
      </c>
      <c r="I55" s="18" t="s">
        <v>349</v>
      </c>
      <c r="J55" s="20" t="s">
        <v>349</v>
      </c>
      <c r="K55" s="18" t="n">
        <v>1.96720857</v>
      </c>
      <c r="L55" s="20" t="n">
        <v>0.68856751</v>
      </c>
      <c r="M55" s="18" t="n">
        <v>0.18094756</v>
      </c>
      <c r="N55" s="20" t="n">
        <v>0.18048115</v>
      </c>
      <c r="O55" s="18" t="n">
        <v>0.38803481</v>
      </c>
      <c r="P55" s="20" t="n">
        <v>0.33949472</v>
      </c>
      <c r="Q55" s="18" t="n">
        <v>1.92473476</v>
      </c>
      <c r="R55" s="20" t="n">
        <v>0.59171734</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37.01122649</v>
      </c>
      <c r="F57" s="20" t="n">
        <v>2.82823649</v>
      </c>
      <c r="G57" s="18" t="n">
        <v>61.14747581</v>
      </c>
      <c r="H57" s="20" t="n">
        <v>2.93331556</v>
      </c>
      <c r="I57" s="18" t="s">
        <v>349</v>
      </c>
      <c r="J57" s="20" t="s">
        <v>349</v>
      </c>
      <c r="K57" s="18" t="n">
        <v>0.7375165</v>
      </c>
      <c r="L57" s="20" t="n">
        <v>0.36678143</v>
      </c>
      <c r="M57" s="18" t="n">
        <v>0.17950774</v>
      </c>
      <c r="N57" s="20" t="n">
        <v>0.17953255</v>
      </c>
      <c r="O57" s="18" t="n">
        <v>0</v>
      </c>
      <c r="P57" s="20" t="n">
        <v>0</v>
      </c>
      <c r="Q57" s="18" t="n">
        <v>0.92427346</v>
      </c>
      <c r="R57" s="20" t="n">
        <v>0.48534977</v>
      </c>
    </row>
    <row r="58" spans="1:18">
      <c r="A58" s="15" t="s">
        <v>400</v>
      </c>
      <c r="B58" s="17" t="n">
        <v>3530</v>
      </c>
      <c r="C58" s="18">
        <f>(2924.0/B58*100)</f>
        <v/>
      </c>
      <c r="D58" s="19" t="n">
        <v>606</v>
      </c>
      <c r="E58" s="18" t="n">
        <v>30.35057668</v>
      </c>
      <c r="F58" s="20" t="n">
        <v>2.57758725</v>
      </c>
      <c r="G58" s="18" t="n">
        <v>63.55363865</v>
      </c>
      <c r="H58" s="20" t="n">
        <v>2.55674418</v>
      </c>
      <c r="I58" s="18" t="s">
        <v>349</v>
      </c>
      <c r="J58" s="20" t="s">
        <v>349</v>
      </c>
      <c r="K58" s="18" t="n">
        <v>2.44138263</v>
      </c>
      <c r="L58" s="20" t="n">
        <v>0.73806134</v>
      </c>
      <c r="M58" s="18" t="n">
        <v>0</v>
      </c>
      <c r="N58" s="20" t="n">
        <v>0</v>
      </c>
      <c r="O58" s="18" t="n">
        <v>1.07549972</v>
      </c>
      <c r="P58" s="20" t="n">
        <v>0.49367691</v>
      </c>
      <c r="Q58" s="18" t="n">
        <v>2.57890232</v>
      </c>
      <c r="R58" s="20" t="n">
        <v>0.5643872599999999</v>
      </c>
    </row>
    <row r="59" spans="1:18">
      <c r="A59" s="15" t="s">
        <v>401</v>
      </c>
      <c r="B59" s="17" t="n">
        <v>2548</v>
      </c>
      <c r="C59" s="18">
        <f>(2140.0/B59*100)</f>
        <v/>
      </c>
      <c r="D59" s="19" t="n">
        <v>408</v>
      </c>
      <c r="E59" s="18" t="n">
        <v>33.57758935</v>
      </c>
      <c r="F59" s="20" t="n">
        <v>2.87150886</v>
      </c>
      <c r="G59" s="18" t="n">
        <v>63.10029055</v>
      </c>
      <c r="H59" s="20" t="n">
        <v>2.76264973</v>
      </c>
      <c r="I59" s="18" t="s">
        <v>349</v>
      </c>
      <c r="J59" s="20" t="s">
        <v>349</v>
      </c>
      <c r="K59" s="18" t="n">
        <v>0.62150207</v>
      </c>
      <c r="L59" s="20" t="n">
        <v>0.34506418</v>
      </c>
      <c r="M59" s="18" t="n">
        <v>0</v>
      </c>
      <c r="N59" s="20" t="n">
        <v>0</v>
      </c>
      <c r="O59" s="18" t="n">
        <v>1.24033919</v>
      </c>
      <c r="P59" s="20" t="n">
        <v>0.48936685</v>
      </c>
      <c r="Q59" s="18" t="n">
        <v>1.46027885</v>
      </c>
      <c r="R59" s="20" t="n">
        <v>0.61689395</v>
      </c>
    </row>
    <row r="60" spans="1:18">
      <c r="A60" s="15" t="s">
        <v>402</v>
      </c>
      <c r="B60" s="17" t="n">
        <v>2095</v>
      </c>
      <c r="C60" s="18">
        <f>(1760.0/B60*100)</f>
        <v/>
      </c>
      <c r="D60" s="19" t="n">
        <v>335</v>
      </c>
      <c r="E60" s="18" t="n">
        <v>53.06990945</v>
      </c>
      <c r="F60" s="20" t="n">
        <v>3.15771957</v>
      </c>
      <c r="G60" s="18" t="n">
        <v>35.06590417</v>
      </c>
      <c r="H60" s="20" t="n">
        <v>2.89197117</v>
      </c>
      <c r="I60" s="18" t="s">
        <v>349</v>
      </c>
      <c r="J60" s="20" t="s">
        <v>349</v>
      </c>
      <c r="K60" s="18" t="n">
        <v>3.33134482</v>
      </c>
      <c r="L60" s="20" t="n">
        <v>1.0905709</v>
      </c>
      <c r="M60" s="18" t="n">
        <v>0</v>
      </c>
      <c r="N60" s="20" t="n">
        <v>0</v>
      </c>
      <c r="O60" s="18" t="n">
        <v>3.44650996</v>
      </c>
      <c r="P60" s="20" t="n">
        <v>1.40172774</v>
      </c>
      <c r="Q60" s="18" t="n">
        <v>5.0863316</v>
      </c>
      <c r="R60" s="20" t="n">
        <v>1.42790421</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34.96165902</v>
      </c>
      <c r="F63" s="20" t="n">
        <v>2.5580586</v>
      </c>
      <c r="G63" s="18" t="n">
        <v>54.72712855</v>
      </c>
      <c r="H63" s="20" t="n">
        <v>2.40995732</v>
      </c>
      <c r="I63" s="18" t="s">
        <v>349</v>
      </c>
      <c r="J63" s="20" t="s">
        <v>349</v>
      </c>
      <c r="K63" s="18" t="n">
        <v>3.06601805</v>
      </c>
      <c r="L63" s="20" t="n">
        <v>0.82925368</v>
      </c>
      <c r="M63" s="18" t="n">
        <v>0</v>
      </c>
      <c r="N63" s="20" t="n">
        <v>0</v>
      </c>
      <c r="O63" s="18" t="n">
        <v>1.02585254</v>
      </c>
      <c r="P63" s="20" t="n">
        <v>0.47235985</v>
      </c>
      <c r="Q63" s="18" t="n">
        <v>6.21934183</v>
      </c>
      <c r="R63" s="20" t="n">
        <v>1.14182651</v>
      </c>
    </row>
    <row r="64" spans="1:18">
      <c r="A64" s="15" t="s">
        <v>406</v>
      </c>
      <c r="B64" s="17" t="n">
        <v>1844</v>
      </c>
      <c r="C64" s="18">
        <f>(1544.0/B64*100)</f>
        <v/>
      </c>
      <c r="D64" s="19" t="n">
        <v>300</v>
      </c>
      <c r="E64" s="18" t="n">
        <v>22.49522442</v>
      </c>
      <c r="F64" s="20" t="n">
        <v>2.33001998</v>
      </c>
      <c r="G64" s="18" t="n">
        <v>74.46050725000001</v>
      </c>
      <c r="H64" s="20" t="n">
        <v>2.53314457</v>
      </c>
      <c r="I64" s="18" t="s">
        <v>349</v>
      </c>
      <c r="J64" s="20" t="s">
        <v>349</v>
      </c>
      <c r="K64" s="18" t="n">
        <v>2.00594725</v>
      </c>
      <c r="L64" s="20" t="n">
        <v>0.83402132</v>
      </c>
      <c r="M64" s="18" t="n">
        <v>0</v>
      </c>
      <c r="N64" s="20" t="n">
        <v>0</v>
      </c>
      <c r="O64" s="18" t="n">
        <v>0</v>
      </c>
      <c r="P64" s="20" t="n">
        <v>0</v>
      </c>
      <c r="Q64" s="18" t="n">
        <v>1.03832108</v>
      </c>
      <c r="R64" s="20" t="n">
        <v>0.77342587</v>
      </c>
    </row>
    <row r="65" spans="1:18">
      <c r="A65" s="15" t="s">
        <v>407</v>
      </c>
      <c r="B65" s="17" t="n">
        <v>2691</v>
      </c>
      <c r="C65" s="18">
        <f>(2227.0/B65*100)</f>
        <v/>
      </c>
      <c r="D65" s="19" t="n">
        <v>464</v>
      </c>
      <c r="E65" s="18" t="n">
        <v>30.07601798</v>
      </c>
      <c r="F65" s="20" t="n">
        <v>1.68489384</v>
      </c>
      <c r="G65" s="18" t="n">
        <v>62.42811617</v>
      </c>
      <c r="H65" s="20" t="n">
        <v>1.91328132</v>
      </c>
      <c r="I65" s="18" t="s">
        <v>349</v>
      </c>
      <c r="J65" s="20" t="s">
        <v>349</v>
      </c>
      <c r="K65" s="18" t="n">
        <v>3.40598502</v>
      </c>
      <c r="L65" s="20" t="n">
        <v>0.86438438</v>
      </c>
      <c r="M65" s="18" t="n">
        <v>0.84741045</v>
      </c>
      <c r="N65" s="20" t="n">
        <v>0.43704153</v>
      </c>
      <c r="O65" s="18" t="n">
        <v>0</v>
      </c>
      <c r="P65" s="20" t="n">
        <v>0</v>
      </c>
      <c r="Q65" s="18" t="n">
        <v>3.24247038</v>
      </c>
      <c r="R65" s="20" t="n">
        <v>0.74118966</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24.15239452</v>
      </c>
      <c r="F69" s="20" t="n">
        <v>2.31109831</v>
      </c>
      <c r="G69" s="18" t="n">
        <v>75.61112110000001</v>
      </c>
      <c r="H69" s="20" t="n">
        <v>2.26001638</v>
      </c>
      <c r="I69" s="18" t="s">
        <v>349</v>
      </c>
      <c r="J69" s="20" t="s">
        <v>349</v>
      </c>
      <c r="K69" s="18" t="n">
        <v>0</v>
      </c>
      <c r="L69" s="20" t="n">
        <v>0</v>
      </c>
      <c r="M69" s="18" t="n">
        <v>0</v>
      </c>
      <c r="N69" s="20" t="n">
        <v>0</v>
      </c>
      <c r="O69" s="18" t="n">
        <v>0</v>
      </c>
      <c r="P69" s="20" t="n">
        <v>0</v>
      </c>
      <c r="Q69" s="18" t="n">
        <v>0.23648438</v>
      </c>
      <c r="R69" s="20" t="n">
        <v>0.23539665</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45.79515118</v>
      </c>
      <c r="F74" s="20" t="n">
        <v>2.95422903</v>
      </c>
      <c r="G74" s="18" t="n">
        <v>42.91051326</v>
      </c>
      <c r="H74" s="20" t="n">
        <v>2.72427167</v>
      </c>
      <c r="I74" s="18" t="s">
        <v>349</v>
      </c>
      <c r="J74" s="20" t="s">
        <v>349</v>
      </c>
      <c r="K74" s="18" t="n">
        <v>6.51183659</v>
      </c>
      <c r="L74" s="20" t="n">
        <v>1.38450044</v>
      </c>
      <c r="M74" s="18" t="n">
        <v>0</v>
      </c>
      <c r="N74" s="20" t="n">
        <v>0</v>
      </c>
      <c r="O74" s="18" t="n">
        <v>0</v>
      </c>
      <c r="P74" s="20" t="n">
        <v>0</v>
      </c>
      <c r="Q74" s="18" t="n">
        <v>4.78249897</v>
      </c>
      <c r="R74" s="20" t="n">
        <v>1.49292138</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6.90714681</v>
      </c>
      <c r="F78" s="20" t="n">
        <v>1.15832624</v>
      </c>
      <c r="G78" s="18" t="n">
        <v>93.09285319</v>
      </c>
      <c r="H78" s="20" t="n">
        <v>1.15832624</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(658.0/B79*100)</f>
        <v/>
      </c>
      <c r="D79" s="19" t="n">
        <v>129</v>
      </c>
      <c r="E79" s="18" t="n">
        <v>18.21690672</v>
      </c>
      <c r="F79" s="20" t="n">
        <v>3.80368481</v>
      </c>
      <c r="G79" s="18" t="n">
        <v>76.69901520000001</v>
      </c>
      <c r="H79" s="20" t="n">
        <v>4.4602498</v>
      </c>
      <c r="I79" s="18" t="s">
        <v>349</v>
      </c>
      <c r="J79" s="20" t="s">
        <v>349</v>
      </c>
      <c r="K79" s="18" t="n">
        <v>4.75827218</v>
      </c>
      <c r="L79" s="20" t="n">
        <v>2.4998464</v>
      </c>
      <c r="M79" s="18" t="n">
        <v>0</v>
      </c>
      <c r="N79" s="20" t="n">
        <v>0</v>
      </c>
      <c r="O79" s="18" t="n">
        <v>0</v>
      </c>
      <c r="P79" s="20" t="n">
        <v>0</v>
      </c>
      <c r="Q79" s="18" t="n">
        <v>0.32580589</v>
      </c>
      <c r="R79" s="20" t="n">
        <v>0.32746256</v>
      </c>
    </row>
    <row r="80" spans="1:18">
      <c r="A80" s="15" t="s">
        <v>422</v>
      </c>
      <c r="B80" s="17" t="n">
        <v>3798</v>
      </c>
      <c r="C80" s="18">
        <f>(3177.0/B80*100)</f>
        <v/>
      </c>
      <c r="D80" s="19" t="n">
        <v>621</v>
      </c>
      <c r="E80" s="18" t="n">
        <v>29.11555818</v>
      </c>
      <c r="F80" s="20" t="n">
        <v>2.41948114</v>
      </c>
      <c r="G80" s="18" t="n">
        <v>70.69649371</v>
      </c>
      <c r="H80" s="20" t="n">
        <v>2.40889351</v>
      </c>
      <c r="I80" s="18" t="s">
        <v>349</v>
      </c>
      <c r="J80" s="20" t="s">
        <v>349</v>
      </c>
      <c r="K80" s="18" t="n">
        <v>0</v>
      </c>
      <c r="L80" s="20" t="n">
        <v>0</v>
      </c>
      <c r="M80" s="18" t="n">
        <v>0</v>
      </c>
      <c r="N80" s="20" t="n">
        <v>0</v>
      </c>
      <c r="O80" s="18" t="n">
        <v>0</v>
      </c>
      <c r="P80" s="20" t="n">
        <v>0</v>
      </c>
      <c r="Q80" s="18" t="n">
        <v>0.1879481</v>
      </c>
      <c r="R80" s="20" t="n">
        <v>0.18848108</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54.75389849</v>
      </c>
      <c r="F44" s="20" t="n">
        <v>3.23335598</v>
      </c>
      <c r="G44" s="18" t="n">
        <v>19.2594757</v>
      </c>
      <c r="H44" s="20" t="n">
        <v>2.32160658</v>
      </c>
      <c r="I44" s="18" t="s">
        <v>349</v>
      </c>
      <c r="J44" s="20" t="s">
        <v>349</v>
      </c>
      <c r="K44" s="18" t="n">
        <v>4.63536157</v>
      </c>
      <c r="L44" s="20" t="n">
        <v>1.24081745</v>
      </c>
      <c r="M44" s="18" t="n">
        <v>0</v>
      </c>
      <c r="N44" s="20" t="n">
        <v>0</v>
      </c>
      <c r="O44" s="18" t="n">
        <v>2.13996034</v>
      </c>
      <c r="P44" s="20" t="n">
        <v>0.76790899</v>
      </c>
      <c r="Q44" s="18" t="n">
        <v>19.2113039</v>
      </c>
      <c r="R44" s="20" t="n">
        <v>2.59550259</v>
      </c>
    </row>
    <row r="45" spans="1:18">
      <c r="A45" s="15" t="s">
        <v>387</v>
      </c>
      <c r="B45" s="17" t="n">
        <v>2849</v>
      </c>
      <c r="C45" s="18">
        <f>(2404.0/B45*100)</f>
        <v/>
      </c>
      <c r="D45" s="19" t="n">
        <v>445</v>
      </c>
      <c r="E45" s="18" t="n">
        <v>61.42387885</v>
      </c>
      <c r="F45" s="20" t="n">
        <v>2.1885978</v>
      </c>
      <c r="G45" s="18" t="n">
        <v>8.73562624</v>
      </c>
      <c r="H45" s="20" t="n">
        <v>1.43245109</v>
      </c>
      <c r="I45" s="18" t="s">
        <v>349</v>
      </c>
      <c r="J45" s="20" t="s">
        <v>349</v>
      </c>
      <c r="K45" s="18" t="n">
        <v>6.68871167</v>
      </c>
      <c r="L45" s="20" t="n">
        <v>1.42381153</v>
      </c>
      <c r="M45" s="18" t="n">
        <v>2.38157014</v>
      </c>
      <c r="N45" s="20" t="n">
        <v>1.0478855</v>
      </c>
      <c r="O45" s="18" t="n">
        <v>6.22973618</v>
      </c>
      <c r="P45" s="20" t="n">
        <v>1.29518587</v>
      </c>
      <c r="Q45" s="18" t="n">
        <v>14.54047692</v>
      </c>
      <c r="R45" s="20" t="n">
        <v>1.94651801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63.01016865</v>
      </c>
      <c r="F49" s="20" t="n">
        <v>2.45995185</v>
      </c>
      <c r="G49" s="18" t="n">
        <v>18.00252114</v>
      </c>
      <c r="H49" s="20" t="n">
        <v>1.64089074</v>
      </c>
      <c r="I49" s="18" t="s">
        <v>349</v>
      </c>
      <c r="J49" s="20" t="s">
        <v>349</v>
      </c>
      <c r="K49" s="18" t="n">
        <v>4.20984494</v>
      </c>
      <c r="L49" s="20" t="n">
        <v>1.22578443</v>
      </c>
      <c r="M49" s="18" t="n">
        <v>0.21313283</v>
      </c>
      <c r="N49" s="20" t="n">
        <v>0.20277739</v>
      </c>
      <c r="O49" s="18" t="n">
        <v>4.12438407</v>
      </c>
      <c r="P49" s="20" t="n">
        <v>1.04016806</v>
      </c>
      <c r="Q49" s="18" t="n">
        <v>10.43994838</v>
      </c>
      <c r="R49" s="20" t="n">
        <v>1.58155262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57.18162819</v>
      </c>
      <c r="F55" s="20" t="n">
        <v>2.38680359</v>
      </c>
      <c r="G55" s="18" t="n">
        <v>16.20392688</v>
      </c>
      <c r="H55" s="20" t="n">
        <v>2.00220436</v>
      </c>
      <c r="I55" s="18" t="s">
        <v>349</v>
      </c>
      <c r="J55" s="20" t="s">
        <v>349</v>
      </c>
      <c r="K55" s="18" t="n">
        <v>2.52898361</v>
      </c>
      <c r="L55" s="20" t="n">
        <v>0.79032248</v>
      </c>
      <c r="M55" s="18" t="n">
        <v>0</v>
      </c>
      <c r="N55" s="20" t="n">
        <v>0</v>
      </c>
      <c r="O55" s="18" t="n">
        <v>6.97249684</v>
      </c>
      <c r="P55" s="20" t="n">
        <v>1.30487302</v>
      </c>
      <c r="Q55" s="18" t="n">
        <v>17.11296447</v>
      </c>
      <c r="R55" s="20" t="n">
        <v>1.7572592</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68.28490356</v>
      </c>
      <c r="F57" s="20" t="n">
        <v>2.39891866</v>
      </c>
      <c r="G57" s="18" t="n">
        <v>16.93929471</v>
      </c>
      <c r="H57" s="20" t="n">
        <v>2.11087798</v>
      </c>
      <c r="I57" s="18" t="s">
        <v>349</v>
      </c>
      <c r="J57" s="20" t="s">
        <v>349</v>
      </c>
      <c r="K57" s="18" t="n">
        <v>0.7375165</v>
      </c>
      <c r="L57" s="20" t="n">
        <v>0.36678143</v>
      </c>
      <c r="M57" s="18" t="n">
        <v>1.08901742</v>
      </c>
      <c r="N57" s="20" t="n">
        <v>0.56132909</v>
      </c>
      <c r="O57" s="18" t="n">
        <v>4.41150045</v>
      </c>
      <c r="P57" s="20" t="n">
        <v>1.06357979</v>
      </c>
      <c r="Q57" s="18" t="n">
        <v>8.53776736</v>
      </c>
      <c r="R57" s="20" t="n">
        <v>1.47473992</v>
      </c>
    </row>
    <row r="58" spans="1:18">
      <c r="A58" s="15" t="s">
        <v>400</v>
      </c>
      <c r="B58" s="17" t="n">
        <v>3530</v>
      </c>
      <c r="C58" s="18">
        <f>(2924.0/B58*100)</f>
        <v/>
      </c>
      <c r="D58" s="19" t="n">
        <v>606</v>
      </c>
      <c r="E58" s="18" t="n">
        <v>54.78272327</v>
      </c>
      <c r="F58" s="20" t="n">
        <v>2.11937934</v>
      </c>
      <c r="G58" s="18" t="n">
        <v>18.46797978</v>
      </c>
      <c r="H58" s="20" t="n">
        <v>1.97680412</v>
      </c>
      <c r="I58" s="18" t="s">
        <v>349</v>
      </c>
      <c r="J58" s="20" t="s">
        <v>349</v>
      </c>
      <c r="K58" s="18" t="n">
        <v>2.89088668</v>
      </c>
      <c r="L58" s="20" t="n">
        <v>0.74260255</v>
      </c>
      <c r="M58" s="18" t="n">
        <v>0</v>
      </c>
      <c r="N58" s="20" t="n">
        <v>0</v>
      </c>
      <c r="O58" s="18" t="n">
        <v>13.36227248</v>
      </c>
      <c r="P58" s="20" t="n">
        <v>1.72656974</v>
      </c>
      <c r="Q58" s="18" t="n">
        <v>10.49613779</v>
      </c>
      <c r="R58" s="20" t="n">
        <v>1.60272438</v>
      </c>
    </row>
    <row r="59" spans="1:18">
      <c r="A59" s="15" t="s">
        <v>401</v>
      </c>
      <c r="B59" s="17" t="n">
        <v>2548</v>
      </c>
      <c r="C59" s="18">
        <f>(2140.0/B59*100)</f>
        <v/>
      </c>
      <c r="D59" s="19" t="n">
        <v>408</v>
      </c>
      <c r="E59" s="18" t="n">
        <v>66.41678521999999</v>
      </c>
      <c r="F59" s="20" t="n">
        <v>3.01251363</v>
      </c>
      <c r="G59" s="18" t="n">
        <v>8.637601439999999</v>
      </c>
      <c r="H59" s="20" t="n">
        <v>1.80103045</v>
      </c>
      <c r="I59" s="18" t="s">
        <v>349</v>
      </c>
      <c r="J59" s="20" t="s">
        <v>349</v>
      </c>
      <c r="K59" s="18" t="n">
        <v>1.21396276</v>
      </c>
      <c r="L59" s="20" t="n">
        <v>0.50293839</v>
      </c>
      <c r="M59" s="18" t="n">
        <v>0</v>
      </c>
      <c r="N59" s="20" t="n">
        <v>0</v>
      </c>
      <c r="O59" s="18" t="n">
        <v>6.03791818</v>
      </c>
      <c r="P59" s="20" t="n">
        <v>1.6183295</v>
      </c>
      <c r="Q59" s="18" t="n">
        <v>17.6937324</v>
      </c>
      <c r="R59" s="20" t="n">
        <v>2.40543029</v>
      </c>
    </row>
    <row r="60" spans="1:18">
      <c r="A60" s="15" t="s">
        <v>402</v>
      </c>
      <c r="B60" s="17" t="n">
        <v>2095</v>
      </c>
      <c r="C60" s="18">
        <f>(1760.0/B60*100)</f>
        <v/>
      </c>
      <c r="D60" s="19" t="n">
        <v>335</v>
      </c>
      <c r="E60" s="18" t="n">
        <v>61.41148675</v>
      </c>
      <c r="F60" s="20" t="n">
        <v>2.71492404</v>
      </c>
      <c r="G60" s="18" t="n">
        <v>22.07458164</v>
      </c>
      <c r="H60" s="20" t="n">
        <v>2.25695499</v>
      </c>
      <c r="I60" s="18" t="s">
        <v>349</v>
      </c>
      <c r="J60" s="20" t="s">
        <v>349</v>
      </c>
      <c r="K60" s="18" t="n">
        <v>4.01120506</v>
      </c>
      <c r="L60" s="20" t="n">
        <v>1.19718831</v>
      </c>
      <c r="M60" s="18" t="n">
        <v>0</v>
      </c>
      <c r="N60" s="20" t="n">
        <v>0</v>
      </c>
      <c r="O60" s="18" t="n">
        <v>1.82950907</v>
      </c>
      <c r="P60" s="20" t="n">
        <v>0.6542895399999999</v>
      </c>
      <c r="Q60" s="18" t="n">
        <v>10.67321749</v>
      </c>
      <c r="R60" s="20" t="n">
        <v>2.07330126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58.75223414</v>
      </c>
      <c r="F63" s="20" t="n">
        <v>2.47417707</v>
      </c>
      <c r="G63" s="18" t="n">
        <v>13.67755946</v>
      </c>
      <c r="H63" s="20" t="n">
        <v>1.89452814</v>
      </c>
      <c r="I63" s="18" t="s">
        <v>349</v>
      </c>
      <c r="J63" s="20" t="s">
        <v>349</v>
      </c>
      <c r="K63" s="18" t="n">
        <v>3.92317057</v>
      </c>
      <c r="L63" s="20" t="n">
        <v>0.89873782</v>
      </c>
      <c r="M63" s="18" t="n">
        <v>0</v>
      </c>
      <c r="N63" s="20" t="n">
        <v>0</v>
      </c>
      <c r="O63" s="18" t="n">
        <v>1.06486701</v>
      </c>
      <c r="P63" s="20" t="n">
        <v>0.52531747</v>
      </c>
      <c r="Q63" s="18" t="n">
        <v>22.58216881</v>
      </c>
      <c r="R63" s="20" t="n">
        <v>1.82826018</v>
      </c>
    </row>
    <row r="64" spans="1:18">
      <c r="A64" s="15" t="s">
        <v>406</v>
      </c>
      <c r="B64" s="17" t="n">
        <v>1844</v>
      </c>
      <c r="C64" s="18">
        <f>(1544.0/B64*100)</f>
        <v/>
      </c>
      <c r="D64" s="19" t="n">
        <v>300</v>
      </c>
      <c r="E64" s="18" t="n">
        <v>51.36919669</v>
      </c>
      <c r="F64" s="20" t="n">
        <v>2.60651456</v>
      </c>
      <c r="G64" s="18" t="n">
        <v>42.65969543</v>
      </c>
      <c r="H64" s="20" t="n">
        <v>2.8499155</v>
      </c>
      <c r="I64" s="18" t="s">
        <v>349</v>
      </c>
      <c r="J64" s="20" t="s">
        <v>349</v>
      </c>
      <c r="K64" s="18" t="n">
        <v>2.00594725</v>
      </c>
      <c r="L64" s="20" t="n">
        <v>0.83402132</v>
      </c>
      <c r="M64" s="18" t="n">
        <v>0</v>
      </c>
      <c r="N64" s="20" t="n">
        <v>0</v>
      </c>
      <c r="O64" s="18" t="n">
        <v>0.75581023</v>
      </c>
      <c r="P64" s="20" t="n">
        <v>0.52781578</v>
      </c>
      <c r="Q64" s="18" t="n">
        <v>3.2093504</v>
      </c>
      <c r="R64" s="20" t="n">
        <v>1.17939817</v>
      </c>
    </row>
    <row r="65" spans="1:18">
      <c r="A65" s="15" t="s">
        <v>407</v>
      </c>
      <c r="B65" s="17" t="n">
        <v>2691</v>
      </c>
      <c r="C65" s="18">
        <f>(2227.0/B65*100)</f>
        <v/>
      </c>
      <c r="D65" s="19" t="n">
        <v>464</v>
      </c>
      <c r="E65" s="18" t="n">
        <v>56.09078276</v>
      </c>
      <c r="F65" s="20" t="n">
        <v>2.28200702</v>
      </c>
      <c r="G65" s="18" t="n">
        <v>22.80758422</v>
      </c>
      <c r="H65" s="20" t="n">
        <v>1.70890422</v>
      </c>
      <c r="I65" s="18" t="s">
        <v>349</v>
      </c>
      <c r="J65" s="20" t="s">
        <v>349</v>
      </c>
      <c r="K65" s="18" t="n">
        <v>4.55583157</v>
      </c>
      <c r="L65" s="20" t="n">
        <v>1.04393016</v>
      </c>
      <c r="M65" s="18" t="n">
        <v>2.51123959</v>
      </c>
      <c r="N65" s="20" t="n">
        <v>0.79845207</v>
      </c>
      <c r="O65" s="18" t="n">
        <v>0.747803</v>
      </c>
      <c r="P65" s="20" t="n">
        <v>0.40138371</v>
      </c>
      <c r="Q65" s="18" t="n">
        <v>13.28675886</v>
      </c>
      <c r="R65" s="20" t="n">
        <v>1.73142359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75.28865466000001</v>
      </c>
      <c r="F69" s="20" t="n">
        <v>2.16608708</v>
      </c>
      <c r="G69" s="18" t="n">
        <v>22.02043538</v>
      </c>
      <c r="H69" s="20" t="n">
        <v>2.03523855</v>
      </c>
      <c r="I69" s="18" t="s">
        <v>349</v>
      </c>
      <c r="J69" s="20" t="s">
        <v>349</v>
      </c>
      <c r="K69" s="18" t="n">
        <v>0</v>
      </c>
      <c r="L69" s="20" t="n">
        <v>0</v>
      </c>
      <c r="M69" s="18" t="n">
        <v>0</v>
      </c>
      <c r="N69" s="20" t="n">
        <v>0</v>
      </c>
      <c r="O69" s="18" t="n">
        <v>0</v>
      </c>
      <c r="P69" s="20" t="n">
        <v>0</v>
      </c>
      <c r="Q69" s="18" t="n">
        <v>2.69090996</v>
      </c>
      <c r="R69" s="20" t="n">
        <v>0.80764857</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62.71416277</v>
      </c>
      <c r="F74" s="20" t="n">
        <v>2.82810559</v>
      </c>
      <c r="G74" s="18" t="n">
        <v>15.51311483</v>
      </c>
      <c r="H74" s="20" t="n">
        <v>1.99500107</v>
      </c>
      <c r="I74" s="18" t="s">
        <v>349</v>
      </c>
      <c r="J74" s="20" t="s">
        <v>349</v>
      </c>
      <c r="K74" s="18" t="n">
        <v>6.80562633</v>
      </c>
      <c r="L74" s="20" t="n">
        <v>1.37478035</v>
      </c>
      <c r="M74" s="18" t="n">
        <v>0</v>
      </c>
      <c r="N74" s="20" t="n">
        <v>0</v>
      </c>
      <c r="O74" s="18" t="n">
        <v>0.65385108</v>
      </c>
      <c r="P74" s="20" t="n">
        <v>0.3373363</v>
      </c>
      <c r="Q74" s="18" t="n">
        <v>14.31324499</v>
      </c>
      <c r="R74" s="20" t="n">
        <v>1.89862785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62.97609703</v>
      </c>
      <c r="F78" s="20" t="n">
        <v>2.54257599</v>
      </c>
      <c r="G78" s="18" t="n">
        <v>28.5697259</v>
      </c>
      <c r="H78" s="20" t="n">
        <v>2.48028242</v>
      </c>
      <c r="I78" s="18" t="s">
        <v>349</v>
      </c>
      <c r="J78" s="20" t="s">
        <v>349</v>
      </c>
      <c r="K78" s="18" t="n">
        <v>0</v>
      </c>
      <c r="L78" s="20" t="n">
        <v>0</v>
      </c>
      <c r="M78" s="18" t="n">
        <v>0.75847432</v>
      </c>
      <c r="N78" s="20" t="n">
        <v>0.40100062</v>
      </c>
      <c r="O78" s="18" t="n">
        <v>5.92621997</v>
      </c>
      <c r="P78" s="20" t="n">
        <v>1.33735083</v>
      </c>
      <c r="Q78" s="18" t="n">
        <v>1.76948278</v>
      </c>
      <c r="R78" s="20" t="n">
        <v>0.68666869</v>
      </c>
    </row>
    <row customHeight="1" ht="25" r="79" spans="1:18">
      <c r="A79" s="15" t="s">
        <v>421</v>
      </c>
      <c r="B79" s="17" t="n">
        <v>787</v>
      </c>
      <c r="C79" s="18">
        <f>(658.0/B79*100)</f>
        <v/>
      </c>
      <c r="D79" s="19" t="n">
        <v>129</v>
      </c>
      <c r="E79" s="18" t="n">
        <v>51.05346779</v>
      </c>
      <c r="F79" s="20" t="n">
        <v>3.85216333</v>
      </c>
      <c r="G79" s="18" t="n">
        <v>30.12837697</v>
      </c>
      <c r="H79" s="20" t="n">
        <v>4.05774941</v>
      </c>
      <c r="I79" s="18" t="s">
        <v>349</v>
      </c>
      <c r="J79" s="20" t="s">
        <v>349</v>
      </c>
      <c r="K79" s="18" t="n">
        <v>6.30411087</v>
      </c>
      <c r="L79" s="20" t="n">
        <v>2.66364538</v>
      </c>
      <c r="M79" s="18" t="n">
        <v>0</v>
      </c>
      <c r="N79" s="20" t="n">
        <v>0</v>
      </c>
      <c r="O79" s="18" t="n">
        <v>3.07476756</v>
      </c>
      <c r="P79" s="20" t="n">
        <v>1.38784981</v>
      </c>
      <c r="Q79" s="18" t="n">
        <v>9.439276810000001</v>
      </c>
      <c r="R79" s="20" t="n">
        <v>3.13020421</v>
      </c>
    </row>
    <row r="80" spans="1:18">
      <c r="A80" s="15" t="s">
        <v>422</v>
      </c>
      <c r="B80" s="17" t="n">
        <v>3798</v>
      </c>
      <c r="C80" s="18">
        <f>(3177.0/B80*100)</f>
        <v/>
      </c>
      <c r="D80" s="19" t="n">
        <v>621</v>
      </c>
      <c r="E80" s="18" t="n">
        <v>69.17983386</v>
      </c>
      <c r="F80" s="20" t="n">
        <v>2.22560899</v>
      </c>
      <c r="G80" s="18" t="n">
        <v>27.94042076</v>
      </c>
      <c r="H80" s="20" t="n">
        <v>2.18704839</v>
      </c>
      <c r="I80" s="18" t="s">
        <v>349</v>
      </c>
      <c r="J80" s="20" t="s">
        <v>349</v>
      </c>
      <c r="K80" s="18" t="n">
        <v>0</v>
      </c>
      <c r="L80" s="20" t="n">
        <v>0</v>
      </c>
      <c r="M80" s="18" t="n">
        <v>0</v>
      </c>
      <c r="N80" s="20" t="n">
        <v>0</v>
      </c>
      <c r="O80" s="18" t="n">
        <v>0</v>
      </c>
      <c r="P80" s="20" t="n">
        <v>0</v>
      </c>
      <c r="Q80" s="18" t="n">
        <v>2.87974538</v>
      </c>
      <c r="R80" s="20" t="n">
        <v>0.68124113</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39.0327073</v>
      </c>
      <c r="F44" s="20" t="n">
        <v>2.96981063</v>
      </c>
      <c r="G44" s="18" t="n">
        <v>7.00029713</v>
      </c>
      <c r="H44" s="20" t="n">
        <v>1.38745927</v>
      </c>
      <c r="I44" s="18" t="s">
        <v>349</v>
      </c>
      <c r="J44" s="20" t="s">
        <v>349</v>
      </c>
      <c r="K44" s="18" t="n">
        <v>6.51886504</v>
      </c>
      <c r="L44" s="20" t="n">
        <v>1.40587505</v>
      </c>
      <c r="M44" s="18" t="n">
        <v>0</v>
      </c>
      <c r="N44" s="20" t="n">
        <v>0</v>
      </c>
      <c r="O44" s="18" t="n">
        <v>0</v>
      </c>
      <c r="P44" s="20" t="n">
        <v>0</v>
      </c>
      <c r="Q44" s="18" t="n">
        <v>47.44813053</v>
      </c>
      <c r="R44" s="20" t="n">
        <v>2.97264127</v>
      </c>
    </row>
    <row r="45" spans="1:18">
      <c r="A45" s="15" t="s">
        <v>387</v>
      </c>
      <c r="B45" s="17" t="n">
        <v>2849</v>
      </c>
      <c r="C45" s="18">
        <f>(2404.0/B45*100)</f>
        <v/>
      </c>
      <c r="D45" s="19" t="n">
        <v>445</v>
      </c>
      <c r="E45" s="18" t="n">
        <v>49.56824047</v>
      </c>
      <c r="F45" s="20" t="n">
        <v>2.6659639</v>
      </c>
      <c r="G45" s="18" t="n">
        <v>2.00658312</v>
      </c>
      <c r="H45" s="20" t="n">
        <v>0.7041017000000001</v>
      </c>
      <c r="I45" s="18" t="s">
        <v>349</v>
      </c>
      <c r="J45" s="20" t="s">
        <v>349</v>
      </c>
      <c r="K45" s="18" t="n">
        <v>7.96004116</v>
      </c>
      <c r="L45" s="20" t="n">
        <v>1.48048477</v>
      </c>
      <c r="M45" s="18" t="n">
        <v>0</v>
      </c>
      <c r="N45" s="20" t="n">
        <v>0</v>
      </c>
      <c r="O45" s="18" t="n">
        <v>0</v>
      </c>
      <c r="P45" s="20" t="n">
        <v>0</v>
      </c>
      <c r="Q45" s="18" t="n">
        <v>40.46513525</v>
      </c>
      <c r="R45" s="20" t="n">
        <v>2.61047959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53.45242536</v>
      </c>
      <c r="F49" s="20" t="n">
        <v>2.93028468</v>
      </c>
      <c r="G49" s="18" t="n">
        <v>7.92829946</v>
      </c>
      <c r="H49" s="20" t="n">
        <v>1.38248901</v>
      </c>
      <c r="I49" s="18" t="s">
        <v>349</v>
      </c>
      <c r="J49" s="20" t="s">
        <v>349</v>
      </c>
      <c r="K49" s="18" t="n">
        <v>5.13121999</v>
      </c>
      <c r="L49" s="20" t="n">
        <v>1.33718238</v>
      </c>
      <c r="M49" s="18" t="n">
        <v>0.65893008</v>
      </c>
      <c r="N49" s="20" t="n">
        <v>0.6482143500000001</v>
      </c>
      <c r="O49" s="18" t="n">
        <v>0</v>
      </c>
      <c r="P49" s="20" t="n">
        <v>0</v>
      </c>
      <c r="Q49" s="18" t="n">
        <v>32.82912512</v>
      </c>
      <c r="R49" s="20" t="n">
        <v>2.68244063</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37.90328072</v>
      </c>
      <c r="F55" s="20" t="n">
        <v>2.32231495</v>
      </c>
      <c r="G55" s="18" t="n">
        <v>5.19362304</v>
      </c>
      <c r="H55" s="20" t="n">
        <v>1.46154333</v>
      </c>
      <c r="I55" s="18" t="s">
        <v>349</v>
      </c>
      <c r="J55" s="20" t="s">
        <v>349</v>
      </c>
      <c r="K55" s="18" t="n">
        <v>3.84904065</v>
      </c>
      <c r="L55" s="20" t="n">
        <v>0.86346066</v>
      </c>
      <c r="M55" s="18" t="n">
        <v>0</v>
      </c>
      <c r="N55" s="20" t="n">
        <v>0</v>
      </c>
      <c r="O55" s="18" t="n">
        <v>0</v>
      </c>
      <c r="P55" s="20" t="n">
        <v>0</v>
      </c>
      <c r="Q55" s="18" t="n">
        <v>53.05405559</v>
      </c>
      <c r="R55" s="20" t="n">
        <v>2.41217938</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70.18632006</v>
      </c>
      <c r="F57" s="20" t="n">
        <v>2.33708221</v>
      </c>
      <c r="G57" s="18" t="n">
        <v>7.29929307</v>
      </c>
      <c r="H57" s="20" t="n">
        <v>1.11132814</v>
      </c>
      <c r="I57" s="18" t="s">
        <v>349</v>
      </c>
      <c r="J57" s="20" t="s">
        <v>349</v>
      </c>
      <c r="K57" s="18" t="n">
        <v>0.87214733</v>
      </c>
      <c r="L57" s="20" t="n">
        <v>0.3919382</v>
      </c>
      <c r="M57" s="18" t="n">
        <v>0.32237643</v>
      </c>
      <c r="N57" s="20" t="n">
        <v>0.2303959</v>
      </c>
      <c r="O57" s="18" t="n">
        <v>0</v>
      </c>
      <c r="P57" s="20" t="n">
        <v>0</v>
      </c>
      <c r="Q57" s="18" t="n">
        <v>21.31986311</v>
      </c>
      <c r="R57" s="20" t="n">
        <v>2.29463694</v>
      </c>
    </row>
    <row r="58" spans="1:18">
      <c r="A58" s="15" t="s">
        <v>400</v>
      </c>
      <c r="B58" s="17" t="n">
        <v>3530</v>
      </c>
      <c r="C58" s="18">
        <f>(2924.0/B58*100)</f>
        <v/>
      </c>
      <c r="D58" s="19" t="n">
        <v>606</v>
      </c>
      <c r="E58" s="18" t="n">
        <v>60.30885267</v>
      </c>
      <c r="F58" s="20" t="n">
        <v>2.63568234</v>
      </c>
      <c r="G58" s="18" t="n">
        <v>4.34717564</v>
      </c>
      <c r="H58" s="20" t="n">
        <v>1.42295443</v>
      </c>
      <c r="I58" s="18" t="s">
        <v>349</v>
      </c>
      <c r="J58" s="20" t="s">
        <v>349</v>
      </c>
      <c r="K58" s="18" t="n">
        <v>3.24500709</v>
      </c>
      <c r="L58" s="20" t="n">
        <v>0.73626946</v>
      </c>
      <c r="M58" s="18" t="n">
        <v>0</v>
      </c>
      <c r="N58" s="20" t="n">
        <v>0</v>
      </c>
      <c r="O58" s="18" t="n">
        <v>0</v>
      </c>
      <c r="P58" s="20" t="n">
        <v>0</v>
      </c>
      <c r="Q58" s="18" t="n">
        <v>32.0989646</v>
      </c>
      <c r="R58" s="20" t="n">
        <v>1.95371043</v>
      </c>
    </row>
    <row r="59" spans="1:18">
      <c r="A59" s="15" t="s">
        <v>401</v>
      </c>
      <c r="B59" s="17" t="n">
        <v>2548</v>
      </c>
      <c r="C59" s="18">
        <f>(2140.0/B59*100)</f>
        <v/>
      </c>
      <c r="D59" s="19" t="n">
        <v>408</v>
      </c>
      <c r="E59" s="18" t="n">
        <v>52.69561674</v>
      </c>
      <c r="F59" s="20" t="n">
        <v>2.67621497</v>
      </c>
      <c r="G59" s="18" t="n">
        <v>5.822441</v>
      </c>
      <c r="H59" s="20" t="n">
        <v>1.19062282</v>
      </c>
      <c r="I59" s="18" t="s">
        <v>349</v>
      </c>
      <c r="J59" s="20" t="s">
        <v>349</v>
      </c>
      <c r="K59" s="18" t="n">
        <v>1.98256221</v>
      </c>
      <c r="L59" s="20" t="n">
        <v>0.6765441800000001</v>
      </c>
      <c r="M59" s="18" t="n">
        <v>0</v>
      </c>
      <c r="N59" s="20" t="n">
        <v>0</v>
      </c>
      <c r="O59" s="18" t="n">
        <v>0</v>
      </c>
      <c r="P59" s="20" t="n">
        <v>0</v>
      </c>
      <c r="Q59" s="18" t="n">
        <v>39.49938005</v>
      </c>
      <c r="R59" s="20" t="n">
        <v>2.88107118</v>
      </c>
    </row>
    <row r="60" spans="1:18">
      <c r="A60" s="15" t="s">
        <v>402</v>
      </c>
      <c r="B60" s="17" t="n">
        <v>2095</v>
      </c>
      <c r="C60" s="18">
        <f>(1760.0/B60*100)</f>
        <v/>
      </c>
      <c r="D60" s="19" t="n">
        <v>335</v>
      </c>
      <c r="E60" s="18" t="n">
        <v>47.34783246</v>
      </c>
      <c r="F60" s="20" t="n">
        <v>3.2895985</v>
      </c>
      <c r="G60" s="18" t="n">
        <v>8.39368342</v>
      </c>
      <c r="H60" s="20" t="n">
        <v>1.50544019</v>
      </c>
      <c r="I60" s="18" t="s">
        <v>349</v>
      </c>
      <c r="J60" s="20" t="s">
        <v>349</v>
      </c>
      <c r="K60" s="18" t="n">
        <v>4.73664417</v>
      </c>
      <c r="L60" s="20" t="n">
        <v>1.25500726</v>
      </c>
      <c r="M60" s="18" t="n">
        <v>0</v>
      </c>
      <c r="N60" s="20" t="n">
        <v>0</v>
      </c>
      <c r="O60" s="18" t="n">
        <v>0.3688649</v>
      </c>
      <c r="P60" s="20" t="n">
        <v>0.26394726</v>
      </c>
      <c r="Q60" s="18" t="n">
        <v>39.15297505</v>
      </c>
      <c r="R60" s="20" t="n">
        <v>3.07774697</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28.74057167</v>
      </c>
      <c r="F63" s="20" t="n">
        <v>2.03337614</v>
      </c>
      <c r="G63" s="18" t="n">
        <v>5.25300768</v>
      </c>
      <c r="H63" s="20" t="n">
        <v>0.9456486200000001</v>
      </c>
      <c r="I63" s="18" t="s">
        <v>349</v>
      </c>
      <c r="J63" s="20" t="s">
        <v>349</v>
      </c>
      <c r="K63" s="18" t="n">
        <v>4.84950362</v>
      </c>
      <c r="L63" s="20" t="n">
        <v>1.02039579</v>
      </c>
      <c r="M63" s="18" t="n">
        <v>0</v>
      </c>
      <c r="N63" s="20" t="n">
        <v>0</v>
      </c>
      <c r="O63" s="18" t="n">
        <v>0</v>
      </c>
      <c r="P63" s="20" t="n">
        <v>0</v>
      </c>
      <c r="Q63" s="18" t="n">
        <v>61.15691702</v>
      </c>
      <c r="R63" s="20" t="n">
        <v>2.39614602</v>
      </c>
    </row>
    <row r="64" spans="1:18">
      <c r="A64" s="15" t="s">
        <v>406</v>
      </c>
      <c r="B64" s="17" t="n">
        <v>1844</v>
      </c>
      <c r="C64" s="18">
        <f>(1544.0/B64*100)</f>
        <v/>
      </c>
      <c r="D64" s="19" t="n">
        <v>300</v>
      </c>
      <c r="E64" s="18" t="n">
        <v>42.78236622</v>
      </c>
      <c r="F64" s="20" t="n">
        <v>3.08392189</v>
      </c>
      <c r="G64" s="18" t="n">
        <v>34.98208228</v>
      </c>
      <c r="H64" s="20" t="n">
        <v>2.72387909</v>
      </c>
      <c r="I64" s="18" t="s">
        <v>349</v>
      </c>
      <c r="J64" s="20" t="s">
        <v>349</v>
      </c>
      <c r="K64" s="18" t="n">
        <v>2.37277429</v>
      </c>
      <c r="L64" s="20" t="n">
        <v>0.91545204</v>
      </c>
      <c r="M64" s="18" t="n">
        <v>0</v>
      </c>
      <c r="N64" s="20" t="n">
        <v>0</v>
      </c>
      <c r="O64" s="18" t="n">
        <v>0</v>
      </c>
      <c r="P64" s="20" t="n">
        <v>0</v>
      </c>
      <c r="Q64" s="18" t="n">
        <v>19.86277721</v>
      </c>
      <c r="R64" s="20" t="n">
        <v>2.50392712</v>
      </c>
    </row>
    <row r="65" spans="1:18">
      <c r="A65" s="15" t="s">
        <v>407</v>
      </c>
      <c r="B65" s="17" t="n">
        <v>2691</v>
      </c>
      <c r="C65" s="18">
        <f>(2227.0/B65*100)</f>
        <v/>
      </c>
      <c r="D65" s="19" t="n">
        <v>464</v>
      </c>
      <c r="E65" s="18" t="n">
        <v>28.14227978</v>
      </c>
      <c r="F65" s="20" t="n">
        <v>2.12500089</v>
      </c>
      <c r="G65" s="18" t="n">
        <v>9.44675369</v>
      </c>
      <c r="H65" s="20" t="n">
        <v>1.49874963</v>
      </c>
      <c r="I65" s="18" t="s">
        <v>349</v>
      </c>
      <c r="J65" s="20" t="s">
        <v>349</v>
      </c>
      <c r="K65" s="18" t="n">
        <v>6.91121459</v>
      </c>
      <c r="L65" s="20" t="n">
        <v>1.24180896</v>
      </c>
      <c r="M65" s="18" t="n">
        <v>0</v>
      </c>
      <c r="N65" s="20" t="n">
        <v>0</v>
      </c>
      <c r="O65" s="18" t="n">
        <v>0</v>
      </c>
      <c r="P65" s="20" t="n">
        <v>0</v>
      </c>
      <c r="Q65" s="18" t="n">
        <v>55.49975193</v>
      </c>
      <c r="R65" s="20" t="n">
        <v>2.25361531</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87.08099401</v>
      </c>
      <c r="F69" s="20" t="n">
        <v>1.95086865</v>
      </c>
      <c r="G69" s="18" t="n">
        <v>12.91900599</v>
      </c>
      <c r="H69" s="20" t="n">
        <v>1.95086865</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41.93346407</v>
      </c>
      <c r="F74" s="20" t="n">
        <v>3.11118061</v>
      </c>
      <c r="G74" s="18" t="n">
        <v>10.14798437</v>
      </c>
      <c r="H74" s="20" t="n">
        <v>1.85376764</v>
      </c>
      <c r="I74" s="18" t="s">
        <v>349</v>
      </c>
      <c r="J74" s="20" t="s">
        <v>349</v>
      </c>
      <c r="K74" s="18" t="n">
        <v>7.99348793</v>
      </c>
      <c r="L74" s="20" t="n">
        <v>1.59284216</v>
      </c>
      <c r="M74" s="18" t="n">
        <v>0</v>
      </c>
      <c r="N74" s="20" t="n">
        <v>0</v>
      </c>
      <c r="O74" s="18" t="n">
        <v>0</v>
      </c>
      <c r="P74" s="20" t="n">
        <v>0</v>
      </c>
      <c r="Q74" s="18" t="n">
        <v>39.92506363</v>
      </c>
      <c r="R74" s="20" t="n">
        <v>2.99648584</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68.82489271999999</v>
      </c>
      <c r="F78" s="20" t="n">
        <v>2.29532788</v>
      </c>
      <c r="G78" s="18" t="n">
        <v>21.49389808</v>
      </c>
      <c r="H78" s="20" t="n">
        <v>2.05103989</v>
      </c>
      <c r="I78" s="18" t="s">
        <v>349</v>
      </c>
      <c r="J78" s="20" t="s">
        <v>349</v>
      </c>
      <c r="K78" s="18" t="n">
        <v>0</v>
      </c>
      <c r="L78" s="20" t="n">
        <v>0</v>
      </c>
      <c r="M78" s="18" t="n">
        <v>0</v>
      </c>
      <c r="N78" s="20" t="n">
        <v>0</v>
      </c>
      <c r="O78" s="18" t="n">
        <v>0</v>
      </c>
      <c r="P78" s="20" t="n">
        <v>0</v>
      </c>
      <c r="Q78" s="18" t="n">
        <v>9.6812092</v>
      </c>
      <c r="R78" s="20" t="n">
        <v>1.54836733</v>
      </c>
    </row>
    <row customHeight="1" ht="25" r="79" spans="1:18">
      <c r="A79" s="15" t="s">
        <v>421</v>
      </c>
      <c r="B79" s="17" t="n">
        <v>787</v>
      </c>
      <c r="C79" s="18">
        <f>(658.0/B79*100)</f>
        <v/>
      </c>
      <c r="D79" s="19" t="n">
        <v>129</v>
      </c>
      <c r="E79" s="18" t="n">
        <v>49.57968385</v>
      </c>
      <c r="F79" s="20" t="n">
        <v>5.58888935</v>
      </c>
      <c r="G79" s="18" t="n">
        <v>14.27829294</v>
      </c>
      <c r="H79" s="20" t="n">
        <v>3.51878089</v>
      </c>
      <c r="I79" s="18" t="s">
        <v>349</v>
      </c>
      <c r="J79" s="20" t="s">
        <v>349</v>
      </c>
      <c r="K79" s="18" t="n">
        <v>10.47982178</v>
      </c>
      <c r="L79" s="20" t="n">
        <v>4.5721023</v>
      </c>
      <c r="M79" s="18" t="n">
        <v>0</v>
      </c>
      <c r="N79" s="20" t="n">
        <v>0</v>
      </c>
      <c r="O79" s="18" t="n">
        <v>0</v>
      </c>
      <c r="P79" s="20" t="n">
        <v>0</v>
      </c>
      <c r="Q79" s="18" t="n">
        <v>25.66220143</v>
      </c>
      <c r="R79" s="20" t="n">
        <v>5.20955896</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19.86126951</v>
      </c>
      <c r="F44" s="20" t="n">
        <v>2.55457322</v>
      </c>
      <c r="G44" s="18" t="n">
        <v>3.9843296</v>
      </c>
      <c r="H44" s="20" t="n">
        <v>1.13954827</v>
      </c>
      <c r="I44" s="18" t="s">
        <v>349</v>
      </c>
      <c r="J44" s="20" t="s">
        <v>349</v>
      </c>
      <c r="K44" s="18" t="n">
        <v>6.94890465</v>
      </c>
      <c r="L44" s="20" t="n">
        <v>1.45690692</v>
      </c>
      <c r="M44" s="18" t="n">
        <v>0</v>
      </c>
      <c r="N44" s="20" t="n">
        <v>0</v>
      </c>
      <c r="O44" s="18" t="n">
        <v>0</v>
      </c>
      <c r="P44" s="20" t="n">
        <v>0</v>
      </c>
      <c r="Q44" s="18" t="n">
        <v>69.20549624</v>
      </c>
      <c r="R44" s="20" t="n">
        <v>2.88010984</v>
      </c>
    </row>
    <row r="45" spans="1:18">
      <c r="A45" s="15" t="s">
        <v>387</v>
      </c>
      <c r="B45" s="17" t="n">
        <v>2849</v>
      </c>
      <c r="C45" s="18">
        <f>(2404.0/B45*100)</f>
        <v/>
      </c>
      <c r="D45" s="19" t="n">
        <v>445</v>
      </c>
      <c r="E45" s="18" t="n">
        <v>32.44438158</v>
      </c>
      <c r="F45" s="20" t="n">
        <v>2.43500885</v>
      </c>
      <c r="G45" s="18" t="n">
        <v>0.8272050399999999</v>
      </c>
      <c r="H45" s="20" t="n">
        <v>0.41976376</v>
      </c>
      <c r="I45" s="18" t="s">
        <v>349</v>
      </c>
      <c r="J45" s="20" t="s">
        <v>349</v>
      </c>
      <c r="K45" s="18" t="n">
        <v>8.678854599999999</v>
      </c>
      <c r="L45" s="20" t="n">
        <v>1.58902795</v>
      </c>
      <c r="M45" s="18" t="n">
        <v>0.43254935</v>
      </c>
      <c r="N45" s="20" t="n">
        <v>0.2561252</v>
      </c>
      <c r="O45" s="18" t="n">
        <v>0</v>
      </c>
      <c r="P45" s="20" t="n">
        <v>0</v>
      </c>
      <c r="Q45" s="18" t="n">
        <v>57.61700942</v>
      </c>
      <c r="R45" s="20" t="n">
        <v>2.70058951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35.28105874</v>
      </c>
      <c r="F49" s="20" t="n">
        <v>2.64961564</v>
      </c>
      <c r="G49" s="18" t="n">
        <v>3.27263557</v>
      </c>
      <c r="H49" s="20" t="n">
        <v>0.89204848</v>
      </c>
      <c r="I49" s="18" t="s">
        <v>349</v>
      </c>
      <c r="J49" s="20" t="s">
        <v>349</v>
      </c>
      <c r="K49" s="18" t="n">
        <v>5.55793438</v>
      </c>
      <c r="L49" s="20" t="n">
        <v>1.38513106</v>
      </c>
      <c r="M49" s="18" t="n">
        <v>0</v>
      </c>
      <c r="N49" s="20" t="n">
        <v>0</v>
      </c>
      <c r="O49" s="18" t="n">
        <v>0</v>
      </c>
      <c r="P49" s="20" t="n">
        <v>0</v>
      </c>
      <c r="Q49" s="18" t="n">
        <v>55.88837131</v>
      </c>
      <c r="R49" s="20" t="n">
        <v>2.57693131</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23.82779656</v>
      </c>
      <c r="F55" s="20" t="n">
        <v>2.04323639</v>
      </c>
      <c r="G55" s="18" t="n">
        <v>3.6408135</v>
      </c>
      <c r="H55" s="20" t="n">
        <v>1.11917492</v>
      </c>
      <c r="I55" s="18" t="s">
        <v>349</v>
      </c>
      <c r="J55" s="20" t="s">
        <v>349</v>
      </c>
      <c r="K55" s="18" t="n">
        <v>4.05505922</v>
      </c>
      <c r="L55" s="20" t="n">
        <v>0.87975545</v>
      </c>
      <c r="M55" s="18" t="n">
        <v>0</v>
      </c>
      <c r="N55" s="20" t="n">
        <v>0</v>
      </c>
      <c r="O55" s="18" t="n">
        <v>0.18062131</v>
      </c>
      <c r="P55" s="20" t="n">
        <v>0.17834752</v>
      </c>
      <c r="Q55" s="18" t="n">
        <v>68.29570941</v>
      </c>
      <c r="R55" s="20" t="n">
        <v>2.34190056</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63.87684647</v>
      </c>
      <c r="F57" s="20" t="n">
        <v>2.60981531</v>
      </c>
      <c r="G57" s="18" t="n">
        <v>4.04322151</v>
      </c>
      <c r="H57" s="20" t="n">
        <v>1.06817202</v>
      </c>
      <c r="I57" s="18" t="s">
        <v>349</v>
      </c>
      <c r="J57" s="20" t="s">
        <v>349</v>
      </c>
      <c r="K57" s="18" t="n">
        <v>1.24515046</v>
      </c>
      <c r="L57" s="20" t="n">
        <v>0.47355554</v>
      </c>
      <c r="M57" s="18" t="n">
        <v>0</v>
      </c>
      <c r="N57" s="20" t="n">
        <v>0</v>
      </c>
      <c r="O57" s="18" t="n">
        <v>0</v>
      </c>
      <c r="P57" s="20" t="n">
        <v>0</v>
      </c>
      <c r="Q57" s="18" t="n">
        <v>30.83478156</v>
      </c>
      <c r="R57" s="20" t="n">
        <v>2.48058038</v>
      </c>
    </row>
    <row r="58" spans="1:18">
      <c r="A58" s="15" t="s">
        <v>400</v>
      </c>
      <c r="B58" s="17" t="n">
        <v>3530</v>
      </c>
      <c r="C58" s="18">
        <f>(2924.0/B58*100)</f>
        <v/>
      </c>
      <c r="D58" s="19" t="n">
        <v>606</v>
      </c>
      <c r="E58" s="18" t="n">
        <v>49.54644761</v>
      </c>
      <c r="F58" s="20" t="n">
        <v>2.54649166</v>
      </c>
      <c r="G58" s="18" t="n">
        <v>1.77842061</v>
      </c>
      <c r="H58" s="20" t="n">
        <v>0.97053157</v>
      </c>
      <c r="I58" s="18" t="s">
        <v>349</v>
      </c>
      <c r="J58" s="20" t="s">
        <v>349</v>
      </c>
      <c r="K58" s="18" t="n">
        <v>3.24500709</v>
      </c>
      <c r="L58" s="20" t="n">
        <v>0.73626946</v>
      </c>
      <c r="M58" s="18" t="n">
        <v>0</v>
      </c>
      <c r="N58" s="20" t="n">
        <v>0</v>
      </c>
      <c r="O58" s="18" t="n">
        <v>0</v>
      </c>
      <c r="P58" s="20" t="n">
        <v>0</v>
      </c>
      <c r="Q58" s="18" t="n">
        <v>45.43012469</v>
      </c>
      <c r="R58" s="20" t="n">
        <v>2.46104771</v>
      </c>
    </row>
    <row r="59" spans="1:18">
      <c r="A59" s="15" t="s">
        <v>401</v>
      </c>
      <c r="B59" s="17" t="n">
        <v>2548</v>
      </c>
      <c r="C59" s="18">
        <f>(2140.0/B59*100)</f>
        <v/>
      </c>
      <c r="D59" s="19" t="n">
        <v>408</v>
      </c>
      <c r="E59" s="18" t="n">
        <v>38.46372893</v>
      </c>
      <c r="F59" s="20" t="n">
        <v>2.97454512</v>
      </c>
      <c r="G59" s="18" t="n">
        <v>2.55553945</v>
      </c>
      <c r="H59" s="20" t="n">
        <v>1.05828989</v>
      </c>
      <c r="I59" s="18" t="s">
        <v>349</v>
      </c>
      <c r="J59" s="20" t="s">
        <v>349</v>
      </c>
      <c r="K59" s="18" t="n">
        <v>2.15107159</v>
      </c>
      <c r="L59" s="20" t="n">
        <v>0.68528176</v>
      </c>
      <c r="M59" s="18" t="n">
        <v>0</v>
      </c>
      <c r="N59" s="20" t="n">
        <v>0</v>
      </c>
      <c r="O59" s="18" t="n">
        <v>0</v>
      </c>
      <c r="P59" s="20" t="n">
        <v>0</v>
      </c>
      <c r="Q59" s="18" t="n">
        <v>56.82966002</v>
      </c>
      <c r="R59" s="20" t="n">
        <v>3.05012083</v>
      </c>
    </row>
    <row r="60" spans="1:18">
      <c r="A60" s="15" t="s">
        <v>402</v>
      </c>
      <c r="B60" s="17" t="n">
        <v>2095</v>
      </c>
      <c r="C60" s="18">
        <f>(1760.0/B60*100)</f>
        <v/>
      </c>
      <c r="D60" s="19" t="n">
        <v>335</v>
      </c>
      <c r="E60" s="18" t="n">
        <v>25.37156828</v>
      </c>
      <c r="F60" s="20" t="n">
        <v>2.94855818</v>
      </c>
      <c r="G60" s="18" t="n">
        <v>5.25180518</v>
      </c>
      <c r="H60" s="20" t="n">
        <v>1.13279023</v>
      </c>
      <c r="I60" s="18" t="s">
        <v>349</v>
      </c>
      <c r="J60" s="20" t="s">
        <v>349</v>
      </c>
      <c r="K60" s="18" t="n">
        <v>4.80020845</v>
      </c>
      <c r="L60" s="20" t="n">
        <v>1.25602231</v>
      </c>
      <c r="M60" s="18" t="n">
        <v>0</v>
      </c>
      <c r="N60" s="20" t="n">
        <v>0</v>
      </c>
      <c r="O60" s="18" t="n">
        <v>0.7741835</v>
      </c>
      <c r="P60" s="20" t="n">
        <v>0.40515801</v>
      </c>
      <c r="Q60" s="18" t="n">
        <v>63.80223458</v>
      </c>
      <c r="R60" s="20" t="n">
        <v>3.22287042</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18.21191318</v>
      </c>
      <c r="F63" s="20" t="n">
        <v>1.55749914</v>
      </c>
      <c r="G63" s="18" t="n">
        <v>2.9489691</v>
      </c>
      <c r="H63" s="20" t="n">
        <v>0.9635446</v>
      </c>
      <c r="I63" s="18" t="s">
        <v>349</v>
      </c>
      <c r="J63" s="20" t="s">
        <v>349</v>
      </c>
      <c r="K63" s="18" t="n">
        <v>5.07481007</v>
      </c>
      <c r="L63" s="20" t="n">
        <v>1.03728882</v>
      </c>
      <c r="M63" s="18" t="n">
        <v>0</v>
      </c>
      <c r="N63" s="20" t="n">
        <v>0</v>
      </c>
      <c r="O63" s="18" t="n">
        <v>0</v>
      </c>
      <c r="P63" s="20" t="n">
        <v>0</v>
      </c>
      <c r="Q63" s="18" t="n">
        <v>73.76430765000001</v>
      </c>
      <c r="R63" s="20" t="n">
        <v>1.87885822</v>
      </c>
    </row>
    <row r="64" spans="1:18">
      <c r="A64" s="15" t="s">
        <v>406</v>
      </c>
      <c r="B64" s="17" t="n">
        <v>1844</v>
      </c>
      <c r="C64" s="18">
        <f>(1544.0/B64*100)</f>
        <v/>
      </c>
      <c r="D64" s="19" t="n">
        <v>300</v>
      </c>
      <c r="E64" s="18" t="n">
        <v>32.97678568</v>
      </c>
      <c r="F64" s="20" t="n">
        <v>2.37412945</v>
      </c>
      <c r="G64" s="18" t="n">
        <v>17.21833253</v>
      </c>
      <c r="H64" s="20" t="n">
        <v>1.8355056</v>
      </c>
      <c r="I64" s="18" t="s">
        <v>349</v>
      </c>
      <c r="J64" s="20" t="s">
        <v>349</v>
      </c>
      <c r="K64" s="18" t="n">
        <v>2.37277429</v>
      </c>
      <c r="L64" s="20" t="n">
        <v>0.91545204</v>
      </c>
      <c r="M64" s="18" t="n">
        <v>0</v>
      </c>
      <c r="N64" s="20" t="n">
        <v>0</v>
      </c>
      <c r="O64" s="18" t="n">
        <v>0</v>
      </c>
      <c r="P64" s="20" t="n">
        <v>0</v>
      </c>
      <c r="Q64" s="18" t="n">
        <v>47.43210751</v>
      </c>
      <c r="R64" s="20" t="n">
        <v>2.85339294</v>
      </c>
    </row>
    <row r="65" spans="1:18">
      <c r="A65" s="15" t="s">
        <v>407</v>
      </c>
      <c r="B65" s="17" t="n">
        <v>2691</v>
      </c>
      <c r="C65" s="18">
        <f>(2227.0/B65*100)</f>
        <v/>
      </c>
      <c r="D65" s="19" t="n">
        <v>464</v>
      </c>
      <c r="E65" s="18" t="n">
        <v>18.38747387</v>
      </c>
      <c r="F65" s="20" t="n">
        <v>2.05395937</v>
      </c>
      <c r="G65" s="18" t="n">
        <v>2.75374399</v>
      </c>
      <c r="H65" s="20" t="n">
        <v>0.83102873</v>
      </c>
      <c r="I65" s="18" t="s">
        <v>349</v>
      </c>
      <c r="J65" s="20" t="s">
        <v>349</v>
      </c>
      <c r="K65" s="18" t="n">
        <v>7.08418048</v>
      </c>
      <c r="L65" s="20" t="n">
        <v>1.25302238</v>
      </c>
      <c r="M65" s="18" t="n">
        <v>0</v>
      </c>
      <c r="N65" s="20" t="n">
        <v>0</v>
      </c>
      <c r="O65" s="18" t="n">
        <v>0</v>
      </c>
      <c r="P65" s="20" t="n">
        <v>0</v>
      </c>
      <c r="Q65" s="18" t="n">
        <v>71.77460166</v>
      </c>
      <c r="R65" s="20" t="n">
        <v>2.44933441</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89.96738868</v>
      </c>
      <c r="F69" s="20" t="n">
        <v>1.58021583</v>
      </c>
      <c r="G69" s="18" t="n">
        <v>10.03261132</v>
      </c>
      <c r="H69" s="20" t="n">
        <v>1.58021583</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24.93413581</v>
      </c>
      <c r="F74" s="20" t="n">
        <v>2.68661468</v>
      </c>
      <c r="G74" s="18" t="n">
        <v>5.11970056</v>
      </c>
      <c r="H74" s="20" t="n">
        <v>1.27209945</v>
      </c>
      <c r="I74" s="18" t="s">
        <v>349</v>
      </c>
      <c r="J74" s="20" t="s">
        <v>349</v>
      </c>
      <c r="K74" s="18" t="n">
        <v>8.095892559999999</v>
      </c>
      <c r="L74" s="20" t="n">
        <v>1.6087294</v>
      </c>
      <c r="M74" s="18" t="n">
        <v>0</v>
      </c>
      <c r="N74" s="20" t="n">
        <v>0</v>
      </c>
      <c r="O74" s="18" t="n">
        <v>0</v>
      </c>
      <c r="P74" s="20" t="n">
        <v>0</v>
      </c>
      <c r="Q74" s="18" t="n">
        <v>61.85027107</v>
      </c>
      <c r="R74" s="20" t="n">
        <v>2.936281</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78.08401492</v>
      </c>
      <c r="F78" s="20" t="n">
        <v>1.89683966</v>
      </c>
      <c r="G78" s="18" t="n">
        <v>9.03154469</v>
      </c>
      <c r="H78" s="20" t="n">
        <v>1.5034846</v>
      </c>
      <c r="I78" s="18" t="s">
        <v>349</v>
      </c>
      <c r="J78" s="20" t="s">
        <v>349</v>
      </c>
      <c r="K78" s="18" t="n">
        <v>0</v>
      </c>
      <c r="L78" s="20" t="n">
        <v>0</v>
      </c>
      <c r="M78" s="18" t="n">
        <v>0</v>
      </c>
      <c r="N78" s="20" t="n">
        <v>0</v>
      </c>
      <c r="O78" s="18" t="n">
        <v>0</v>
      </c>
      <c r="P78" s="20" t="n">
        <v>0</v>
      </c>
      <c r="Q78" s="18" t="n">
        <v>12.88444039</v>
      </c>
      <c r="R78" s="20" t="n">
        <v>1.4801708</v>
      </c>
    </row>
    <row customHeight="1" ht="25" r="79" spans="1:18">
      <c r="A79" s="15" t="s">
        <v>421</v>
      </c>
      <c r="B79" s="17" t="n">
        <v>787</v>
      </c>
      <c r="C79" s="18">
        <f>(658.0/B79*100)</f>
        <v/>
      </c>
      <c r="D79" s="19" t="n">
        <v>129</v>
      </c>
      <c r="E79" s="18" t="n">
        <v>37.25414281</v>
      </c>
      <c r="F79" s="20" t="n">
        <v>4.86642547</v>
      </c>
      <c r="G79" s="18" t="n">
        <v>6.0795945</v>
      </c>
      <c r="H79" s="20" t="n">
        <v>2.2404727</v>
      </c>
      <c r="I79" s="18" t="s">
        <v>349</v>
      </c>
      <c r="J79" s="20" t="s">
        <v>349</v>
      </c>
      <c r="K79" s="18" t="n">
        <v>11.35833221</v>
      </c>
      <c r="L79" s="20" t="n">
        <v>4.55878796</v>
      </c>
      <c r="M79" s="18" t="n">
        <v>0</v>
      </c>
      <c r="N79" s="20" t="n">
        <v>0</v>
      </c>
      <c r="O79" s="18" t="n">
        <v>0</v>
      </c>
      <c r="P79" s="20" t="n">
        <v>0</v>
      </c>
      <c r="Q79" s="18" t="n">
        <v>45.30793048</v>
      </c>
      <c r="R79" s="20" t="n">
        <v>5.15957353</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61.65168828</v>
      </c>
      <c r="F44" s="20" t="n">
        <v>2.76729329</v>
      </c>
      <c r="G44" s="18" t="n">
        <v>24.31153928</v>
      </c>
      <c r="H44" s="20" t="n">
        <v>2.1956448</v>
      </c>
      <c r="I44" s="18" t="s">
        <v>349</v>
      </c>
      <c r="J44" s="20" t="s">
        <v>349</v>
      </c>
      <c r="K44" s="18" t="n">
        <v>7.15411943</v>
      </c>
      <c r="L44" s="20" t="n">
        <v>1.47474135</v>
      </c>
      <c r="M44" s="18" t="n">
        <v>0</v>
      </c>
      <c r="N44" s="20" t="n">
        <v>0</v>
      </c>
      <c r="O44" s="18" t="n">
        <v>0</v>
      </c>
      <c r="P44" s="20" t="n">
        <v>0</v>
      </c>
      <c r="Q44" s="18" t="n">
        <v>6.88265301</v>
      </c>
      <c r="R44" s="20" t="n">
        <v>1.49917654</v>
      </c>
    </row>
    <row r="45" spans="1:18">
      <c r="A45" s="15" t="s">
        <v>387</v>
      </c>
      <c r="B45" s="17" t="n">
        <v>2849</v>
      </c>
      <c r="C45" s="18">
        <f>(2404.0/B45*100)</f>
        <v/>
      </c>
      <c r="D45" s="19" t="n">
        <v>445</v>
      </c>
      <c r="E45" s="18" t="n">
        <v>73.32086536</v>
      </c>
      <c r="F45" s="20" t="n">
        <v>2.13643023</v>
      </c>
      <c r="G45" s="18" t="n">
        <v>14.56716142</v>
      </c>
      <c r="H45" s="20" t="n">
        <v>1.67021693</v>
      </c>
      <c r="I45" s="18" t="s">
        <v>349</v>
      </c>
      <c r="J45" s="20" t="s">
        <v>349</v>
      </c>
      <c r="K45" s="18" t="n">
        <v>9.106334759999999</v>
      </c>
      <c r="L45" s="20" t="n">
        <v>1.58857838</v>
      </c>
      <c r="M45" s="18" t="n">
        <v>0</v>
      </c>
      <c r="N45" s="20" t="n">
        <v>0</v>
      </c>
      <c r="O45" s="18" t="n">
        <v>0</v>
      </c>
      <c r="P45" s="20" t="n">
        <v>0</v>
      </c>
      <c r="Q45" s="18" t="n">
        <v>3.00563845</v>
      </c>
      <c r="R45" s="20" t="n">
        <v>1.18034568</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58.50594269</v>
      </c>
      <c r="F49" s="20" t="n">
        <v>2.79299129</v>
      </c>
      <c r="G49" s="18" t="n">
        <v>32.43455971</v>
      </c>
      <c r="H49" s="20" t="n">
        <v>2.65640318</v>
      </c>
      <c r="I49" s="18" t="s">
        <v>349</v>
      </c>
      <c r="J49" s="20" t="s">
        <v>349</v>
      </c>
      <c r="K49" s="18" t="n">
        <v>5.63178461</v>
      </c>
      <c r="L49" s="20" t="n">
        <v>1.38772633</v>
      </c>
      <c r="M49" s="18" t="n">
        <v>0</v>
      </c>
      <c r="N49" s="20" t="n">
        <v>0</v>
      </c>
      <c r="O49" s="18" t="n">
        <v>0</v>
      </c>
      <c r="P49" s="20" t="n">
        <v>0</v>
      </c>
      <c r="Q49" s="18" t="n">
        <v>3.42771298</v>
      </c>
      <c r="R49" s="20" t="n">
        <v>0.89545255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65.88432812000001</v>
      </c>
      <c r="F55" s="20" t="n">
        <v>2.1166623</v>
      </c>
      <c r="G55" s="18" t="n">
        <v>23.16913913</v>
      </c>
      <c r="H55" s="20" t="n">
        <v>2.21272138</v>
      </c>
      <c r="I55" s="18" t="s">
        <v>349</v>
      </c>
      <c r="J55" s="20" t="s">
        <v>349</v>
      </c>
      <c r="K55" s="18" t="n">
        <v>4.28174761</v>
      </c>
      <c r="L55" s="20" t="n">
        <v>0.90475698</v>
      </c>
      <c r="M55" s="18" t="n">
        <v>0</v>
      </c>
      <c r="N55" s="20" t="n">
        <v>0</v>
      </c>
      <c r="O55" s="18" t="n">
        <v>0.56848108</v>
      </c>
      <c r="P55" s="20" t="n">
        <v>0.33267516</v>
      </c>
      <c r="Q55" s="18" t="n">
        <v>6.09630407</v>
      </c>
      <c r="R55" s="20" t="n">
        <v>1.20442823</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77.71775592</v>
      </c>
      <c r="F57" s="20" t="n">
        <v>2.02040735</v>
      </c>
      <c r="G57" s="18" t="n">
        <v>20.12727053</v>
      </c>
      <c r="H57" s="20" t="n">
        <v>1.93729406</v>
      </c>
      <c r="I57" s="18" t="s">
        <v>349</v>
      </c>
      <c r="J57" s="20" t="s">
        <v>349</v>
      </c>
      <c r="K57" s="18" t="n">
        <v>1.24515046</v>
      </c>
      <c r="L57" s="20" t="n">
        <v>0.47355554</v>
      </c>
      <c r="M57" s="18" t="n">
        <v>0</v>
      </c>
      <c r="N57" s="20" t="n">
        <v>0</v>
      </c>
      <c r="O57" s="18" t="n">
        <v>0</v>
      </c>
      <c r="P57" s="20" t="n">
        <v>0</v>
      </c>
      <c r="Q57" s="18" t="n">
        <v>0.9098230899999999</v>
      </c>
      <c r="R57" s="20" t="n">
        <v>0.4525681</v>
      </c>
    </row>
    <row r="58" spans="1:18">
      <c r="A58" s="15" t="s">
        <v>400</v>
      </c>
      <c r="B58" s="17" t="n">
        <v>3530</v>
      </c>
      <c r="C58" s="18">
        <f>(2924.0/B58*100)</f>
        <v/>
      </c>
      <c r="D58" s="19" t="n">
        <v>606</v>
      </c>
      <c r="E58" s="18" t="n">
        <v>78.04479451</v>
      </c>
      <c r="F58" s="20" t="n">
        <v>1.9829158</v>
      </c>
      <c r="G58" s="18" t="n">
        <v>14.72022901</v>
      </c>
      <c r="H58" s="20" t="n">
        <v>1.58152294</v>
      </c>
      <c r="I58" s="18" t="s">
        <v>349</v>
      </c>
      <c r="J58" s="20" t="s">
        <v>349</v>
      </c>
      <c r="K58" s="18" t="n">
        <v>3.24500709</v>
      </c>
      <c r="L58" s="20" t="n">
        <v>0.73626946</v>
      </c>
      <c r="M58" s="18" t="n">
        <v>0</v>
      </c>
      <c r="N58" s="20" t="n">
        <v>0</v>
      </c>
      <c r="O58" s="18" t="n">
        <v>0.69169836</v>
      </c>
      <c r="P58" s="20" t="n">
        <v>0.51770032</v>
      </c>
      <c r="Q58" s="18" t="n">
        <v>3.29827103</v>
      </c>
      <c r="R58" s="20" t="n">
        <v>1.00308483</v>
      </c>
    </row>
    <row r="59" spans="1:18">
      <c r="A59" s="15" t="s">
        <v>401</v>
      </c>
      <c r="B59" s="17" t="n">
        <v>2548</v>
      </c>
      <c r="C59" s="18">
        <f>(2140.0/B59*100)</f>
        <v/>
      </c>
      <c r="D59" s="19" t="n">
        <v>408</v>
      </c>
      <c r="E59" s="18" t="n">
        <v>66.54454499000001</v>
      </c>
      <c r="F59" s="20" t="n">
        <v>2.72524814</v>
      </c>
      <c r="G59" s="18" t="n">
        <v>26.91645191</v>
      </c>
      <c r="H59" s="20" t="n">
        <v>2.55679898</v>
      </c>
      <c r="I59" s="18" t="s">
        <v>349</v>
      </c>
      <c r="J59" s="20" t="s">
        <v>349</v>
      </c>
      <c r="K59" s="18" t="n">
        <v>2.15107159</v>
      </c>
      <c r="L59" s="20" t="n">
        <v>0.68528176</v>
      </c>
      <c r="M59" s="18" t="n">
        <v>0</v>
      </c>
      <c r="N59" s="20" t="n">
        <v>0</v>
      </c>
      <c r="O59" s="18" t="n">
        <v>0.07737466</v>
      </c>
      <c r="P59" s="20" t="n">
        <v>0.07716734</v>
      </c>
      <c r="Q59" s="18" t="n">
        <v>4.31055685</v>
      </c>
      <c r="R59" s="20" t="n">
        <v>1.27918722</v>
      </c>
    </row>
    <row r="60" spans="1:18">
      <c r="A60" s="15" t="s">
        <v>402</v>
      </c>
      <c r="B60" s="17" t="n">
        <v>2095</v>
      </c>
      <c r="C60" s="18">
        <f>(1760.0/B60*100)</f>
        <v/>
      </c>
      <c r="D60" s="19" t="n">
        <v>335</v>
      </c>
      <c r="E60" s="18" t="n">
        <v>67.69558326000001</v>
      </c>
      <c r="F60" s="20" t="n">
        <v>3.16061101</v>
      </c>
      <c r="G60" s="18" t="n">
        <v>22.07224354</v>
      </c>
      <c r="H60" s="20" t="n">
        <v>2.75759808</v>
      </c>
      <c r="I60" s="18" t="s">
        <v>349</v>
      </c>
      <c r="J60" s="20" t="s">
        <v>349</v>
      </c>
      <c r="K60" s="18" t="n">
        <v>5.49385216</v>
      </c>
      <c r="L60" s="20" t="n">
        <v>1.25535898</v>
      </c>
      <c r="M60" s="18" t="n">
        <v>0</v>
      </c>
      <c r="N60" s="20" t="n">
        <v>0</v>
      </c>
      <c r="O60" s="18" t="n">
        <v>0</v>
      </c>
      <c r="P60" s="20" t="n">
        <v>0</v>
      </c>
      <c r="Q60" s="18" t="n">
        <v>4.73832104</v>
      </c>
      <c r="R60" s="20" t="n">
        <v>1.43090861</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66.34723397</v>
      </c>
      <c r="F63" s="20" t="n">
        <v>2.22040798</v>
      </c>
      <c r="G63" s="18" t="n">
        <v>23.93723886</v>
      </c>
      <c r="H63" s="20" t="n">
        <v>2.07487062</v>
      </c>
      <c r="I63" s="18" t="s">
        <v>349</v>
      </c>
      <c r="J63" s="20" t="s">
        <v>349</v>
      </c>
      <c r="K63" s="18" t="n">
        <v>5.07481007</v>
      </c>
      <c r="L63" s="20" t="n">
        <v>1.03728882</v>
      </c>
      <c r="M63" s="18" t="n">
        <v>0</v>
      </c>
      <c r="N63" s="20" t="n">
        <v>0</v>
      </c>
      <c r="O63" s="18" t="n">
        <v>0</v>
      </c>
      <c r="P63" s="20" t="n">
        <v>0</v>
      </c>
      <c r="Q63" s="18" t="n">
        <v>4.6407171</v>
      </c>
      <c r="R63" s="20" t="n">
        <v>0.96062954</v>
      </c>
    </row>
    <row r="64" spans="1:18">
      <c r="A64" s="15" t="s">
        <v>406</v>
      </c>
      <c r="B64" s="17" t="n">
        <v>1844</v>
      </c>
      <c r="C64" s="18">
        <f>(1544.0/B64*100)</f>
        <v/>
      </c>
      <c r="D64" s="19" t="n">
        <v>300</v>
      </c>
      <c r="E64" s="18" t="n">
        <v>59.89426883</v>
      </c>
      <c r="F64" s="20" t="n">
        <v>2.76454404</v>
      </c>
      <c r="G64" s="18" t="n">
        <v>36.07283753</v>
      </c>
      <c r="H64" s="20" t="n">
        <v>2.91244143</v>
      </c>
      <c r="I64" s="18" t="s">
        <v>349</v>
      </c>
      <c r="J64" s="20" t="s">
        <v>349</v>
      </c>
      <c r="K64" s="18" t="n">
        <v>2.73204809</v>
      </c>
      <c r="L64" s="20" t="n">
        <v>0.97922035</v>
      </c>
      <c r="M64" s="18" t="n">
        <v>0</v>
      </c>
      <c r="N64" s="20" t="n">
        <v>0</v>
      </c>
      <c r="O64" s="18" t="n">
        <v>0</v>
      </c>
      <c r="P64" s="20" t="n">
        <v>0</v>
      </c>
      <c r="Q64" s="18" t="n">
        <v>1.30084555</v>
      </c>
      <c r="R64" s="20" t="n">
        <v>0.64200431</v>
      </c>
    </row>
    <row r="65" spans="1:18">
      <c r="A65" s="15" t="s">
        <v>407</v>
      </c>
      <c r="B65" s="17" t="n">
        <v>2691</v>
      </c>
      <c r="C65" s="18">
        <f>(2227.0/B65*100)</f>
        <v/>
      </c>
      <c r="D65" s="19" t="n">
        <v>464</v>
      </c>
      <c r="E65" s="18" t="n">
        <v>61.09902344</v>
      </c>
      <c r="F65" s="20" t="n">
        <v>2.36520889</v>
      </c>
      <c r="G65" s="18" t="n">
        <v>26.33359467</v>
      </c>
      <c r="H65" s="20" t="n">
        <v>2.02782992</v>
      </c>
      <c r="I65" s="18" t="s">
        <v>349</v>
      </c>
      <c r="J65" s="20" t="s">
        <v>349</v>
      </c>
      <c r="K65" s="18" t="n">
        <v>7.08418048</v>
      </c>
      <c r="L65" s="20" t="n">
        <v>1.25302238</v>
      </c>
      <c r="M65" s="18" t="n">
        <v>0</v>
      </c>
      <c r="N65" s="20" t="n">
        <v>0</v>
      </c>
      <c r="O65" s="18" t="n">
        <v>0</v>
      </c>
      <c r="P65" s="20" t="n">
        <v>0</v>
      </c>
      <c r="Q65" s="18" t="n">
        <v>5.48320141</v>
      </c>
      <c r="R65" s="20" t="n">
        <v>0.9885157999999999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63.26229976</v>
      </c>
      <c r="F69" s="20" t="n">
        <v>2.79261485</v>
      </c>
      <c r="G69" s="18" t="n">
        <v>36.73770024</v>
      </c>
      <c r="H69" s="20" t="n">
        <v>2.79261485</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60.65579507</v>
      </c>
      <c r="F74" s="20" t="n">
        <v>3.22307089</v>
      </c>
      <c r="G74" s="18" t="n">
        <v>26.76339634</v>
      </c>
      <c r="H74" s="20" t="n">
        <v>2.66773203</v>
      </c>
      <c r="I74" s="18" t="s">
        <v>349</v>
      </c>
      <c r="J74" s="20" t="s">
        <v>349</v>
      </c>
      <c r="K74" s="18" t="n">
        <v>8.24395576</v>
      </c>
      <c r="L74" s="20" t="n">
        <v>1.58842255</v>
      </c>
      <c r="M74" s="18" t="n">
        <v>0</v>
      </c>
      <c r="N74" s="20" t="n">
        <v>0</v>
      </c>
      <c r="O74" s="18" t="n">
        <v>0</v>
      </c>
      <c r="P74" s="20" t="n">
        <v>0</v>
      </c>
      <c r="Q74" s="18" t="n">
        <v>4.33685284</v>
      </c>
      <c r="R74" s="20" t="n">
        <v>1.09364495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38.24598991</v>
      </c>
      <c r="F78" s="20" t="n">
        <v>2.6340753</v>
      </c>
      <c r="G78" s="18" t="n">
        <v>61.75401009</v>
      </c>
      <c r="H78" s="20" t="n">
        <v>2.6340753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(658.0/B79*100)</f>
        <v/>
      </c>
      <c r="D79" s="19" t="n">
        <v>129</v>
      </c>
      <c r="E79" s="18" t="n">
        <v>51.22672321</v>
      </c>
      <c r="F79" s="20" t="n">
        <v>5.08088685</v>
      </c>
      <c r="G79" s="18" t="n">
        <v>34.95109489</v>
      </c>
      <c r="H79" s="20" t="n">
        <v>3.96506034</v>
      </c>
      <c r="I79" s="18" t="s">
        <v>349</v>
      </c>
      <c r="J79" s="20" t="s">
        <v>349</v>
      </c>
      <c r="K79" s="18" t="n">
        <v>12.20205002</v>
      </c>
      <c r="L79" s="20" t="n">
        <v>4.61522489</v>
      </c>
      <c r="M79" s="18" t="n">
        <v>0</v>
      </c>
      <c r="N79" s="20" t="n">
        <v>0</v>
      </c>
      <c r="O79" s="18" t="n">
        <v>0</v>
      </c>
      <c r="P79" s="20" t="n">
        <v>0</v>
      </c>
      <c r="Q79" s="18" t="n">
        <v>1.62013188</v>
      </c>
      <c r="R79" s="20" t="n">
        <v>1.07728702</v>
      </c>
    </row>
    <row r="80" spans="1:18">
      <c r="A80" s="15" t="s">
        <v>422</v>
      </c>
      <c r="B80" s="17" t="n">
        <v>3798</v>
      </c>
      <c r="C80" s="18">
        <f>(3177.0/B80*100)</f>
        <v/>
      </c>
      <c r="D80" s="19" t="n">
        <v>621</v>
      </c>
      <c r="E80" s="18" t="n">
        <v>72.20803264</v>
      </c>
      <c r="F80" s="20" t="n">
        <v>2.40694576</v>
      </c>
      <c r="G80" s="18" t="n">
        <v>26.96246927</v>
      </c>
      <c r="H80" s="20" t="n">
        <v>2.39159606</v>
      </c>
      <c r="I80" s="18" t="s">
        <v>349</v>
      </c>
      <c r="J80" s="20" t="s">
        <v>349</v>
      </c>
      <c r="K80" s="18" t="n">
        <v>0.82949809</v>
      </c>
      <c r="L80" s="20" t="n">
        <v>0.48411037</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48.46460914</v>
      </c>
      <c r="F44" s="20" t="n">
        <v>2.80356835</v>
      </c>
      <c r="G44" s="18" t="n">
        <v>27.06621814</v>
      </c>
      <c r="H44" s="20" t="n">
        <v>2.28860292</v>
      </c>
      <c r="I44" s="18" t="s">
        <v>349</v>
      </c>
      <c r="J44" s="20" t="s">
        <v>349</v>
      </c>
      <c r="K44" s="18" t="n">
        <v>8.18698369</v>
      </c>
      <c r="L44" s="20" t="n">
        <v>1.54971651</v>
      </c>
      <c r="M44" s="18" t="n">
        <v>0</v>
      </c>
      <c r="N44" s="20" t="n">
        <v>0</v>
      </c>
      <c r="O44" s="18" t="n">
        <v>3.02858218</v>
      </c>
      <c r="P44" s="20" t="n">
        <v>0.8994693499999999</v>
      </c>
      <c r="Q44" s="18" t="n">
        <v>13.25360686</v>
      </c>
      <c r="R44" s="20" t="n">
        <v>1.80671681</v>
      </c>
    </row>
    <row r="45" spans="1:18">
      <c r="A45" s="15" t="s">
        <v>387</v>
      </c>
      <c r="B45" s="17" t="n">
        <v>2849</v>
      </c>
      <c r="C45" s="18">
        <f>(2404.0/B45*100)</f>
        <v/>
      </c>
      <c r="D45" s="19" t="n">
        <v>445</v>
      </c>
      <c r="E45" s="18" t="n">
        <v>53.2967778</v>
      </c>
      <c r="F45" s="20" t="n">
        <v>2.57743765</v>
      </c>
      <c r="G45" s="18" t="n">
        <v>19.31312253</v>
      </c>
      <c r="H45" s="20" t="n">
        <v>1.69761631</v>
      </c>
      <c r="I45" s="18" t="s">
        <v>349</v>
      </c>
      <c r="J45" s="20" t="s">
        <v>349</v>
      </c>
      <c r="K45" s="18" t="n">
        <v>11.44146181</v>
      </c>
      <c r="L45" s="20" t="n">
        <v>1.77187577</v>
      </c>
      <c r="M45" s="18" t="n">
        <v>1.23404949</v>
      </c>
      <c r="N45" s="20" t="n">
        <v>0.51957083</v>
      </c>
      <c r="O45" s="18" t="n">
        <v>6.14924106</v>
      </c>
      <c r="P45" s="20" t="n">
        <v>1.44786499</v>
      </c>
      <c r="Q45" s="18" t="n">
        <v>8.56534731</v>
      </c>
      <c r="R45" s="20" t="n">
        <v>1.63644946</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50.55539743</v>
      </c>
      <c r="F49" s="20" t="n">
        <v>2.72047617</v>
      </c>
      <c r="G49" s="18" t="n">
        <v>33.35090313</v>
      </c>
      <c r="H49" s="20" t="n">
        <v>2.80640196</v>
      </c>
      <c r="I49" s="18" t="s">
        <v>349</v>
      </c>
      <c r="J49" s="20" t="s">
        <v>349</v>
      </c>
      <c r="K49" s="18" t="n">
        <v>6.17025017</v>
      </c>
      <c r="L49" s="20" t="n">
        <v>1.42463807</v>
      </c>
      <c r="M49" s="18" t="n">
        <v>0</v>
      </c>
      <c r="N49" s="20" t="n">
        <v>0</v>
      </c>
      <c r="O49" s="18" t="n">
        <v>2.23751024</v>
      </c>
      <c r="P49" s="20" t="n">
        <v>0.7681725</v>
      </c>
      <c r="Q49" s="18" t="n">
        <v>7.68593904</v>
      </c>
      <c r="R49" s="20" t="n">
        <v>1.33096155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58.83806269</v>
      </c>
      <c r="F55" s="20" t="n">
        <v>2.31707978</v>
      </c>
      <c r="G55" s="18" t="n">
        <v>27.4336149</v>
      </c>
      <c r="H55" s="20" t="n">
        <v>2.39349856</v>
      </c>
      <c r="I55" s="18" t="s">
        <v>349</v>
      </c>
      <c r="J55" s="20" t="s">
        <v>349</v>
      </c>
      <c r="K55" s="18" t="n">
        <v>5.32272704</v>
      </c>
      <c r="L55" s="20" t="n">
        <v>0.97697462</v>
      </c>
      <c r="M55" s="18" t="n">
        <v>0</v>
      </c>
      <c r="N55" s="20" t="n">
        <v>0</v>
      </c>
      <c r="O55" s="18" t="n">
        <v>0.3462826</v>
      </c>
      <c r="P55" s="20" t="n">
        <v>0.24658554</v>
      </c>
      <c r="Q55" s="18" t="n">
        <v>8.05931277</v>
      </c>
      <c r="R55" s="20" t="n">
        <v>1.45962449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70.55341565000001</v>
      </c>
      <c r="F57" s="20" t="n">
        <v>1.99609081</v>
      </c>
      <c r="G57" s="18" t="n">
        <v>22.46877953</v>
      </c>
      <c r="H57" s="20" t="n">
        <v>1.82375881</v>
      </c>
      <c r="I57" s="18" t="s">
        <v>349</v>
      </c>
      <c r="J57" s="20" t="s">
        <v>349</v>
      </c>
      <c r="K57" s="18" t="n">
        <v>2.18292792</v>
      </c>
      <c r="L57" s="20" t="n">
        <v>0.6994246</v>
      </c>
      <c r="M57" s="18" t="n">
        <v>0.30626914</v>
      </c>
      <c r="N57" s="20" t="n">
        <v>0.30476203</v>
      </c>
      <c r="O57" s="18" t="n">
        <v>0</v>
      </c>
      <c r="P57" s="20" t="n">
        <v>0</v>
      </c>
      <c r="Q57" s="18" t="n">
        <v>4.48860776</v>
      </c>
      <c r="R57" s="20" t="n">
        <v>0.9712102</v>
      </c>
    </row>
    <row r="58" spans="1:18">
      <c r="A58" s="15" t="s">
        <v>400</v>
      </c>
      <c r="B58" s="17" t="n">
        <v>3530</v>
      </c>
      <c r="C58" s="18">
        <f>(2924.0/B58*100)</f>
        <v/>
      </c>
      <c r="D58" s="19" t="n">
        <v>606</v>
      </c>
      <c r="E58" s="18" t="n">
        <v>67.62656111</v>
      </c>
      <c r="F58" s="20" t="n">
        <v>1.78463421</v>
      </c>
      <c r="G58" s="18" t="n">
        <v>19.17353796</v>
      </c>
      <c r="H58" s="20" t="n">
        <v>1.93563058</v>
      </c>
      <c r="I58" s="18" t="s">
        <v>349</v>
      </c>
      <c r="J58" s="20" t="s">
        <v>349</v>
      </c>
      <c r="K58" s="18" t="n">
        <v>4.60606658</v>
      </c>
      <c r="L58" s="20" t="n">
        <v>0.87178384</v>
      </c>
      <c r="M58" s="18" t="n">
        <v>0</v>
      </c>
      <c r="N58" s="20" t="n">
        <v>0</v>
      </c>
      <c r="O58" s="18" t="n">
        <v>2.54634846</v>
      </c>
      <c r="P58" s="20" t="n">
        <v>0.95648371</v>
      </c>
      <c r="Q58" s="18" t="n">
        <v>6.04748589</v>
      </c>
      <c r="R58" s="20" t="n">
        <v>1.09618572</v>
      </c>
    </row>
    <row r="59" spans="1:18">
      <c r="A59" s="15" t="s">
        <v>401</v>
      </c>
      <c r="B59" s="17" t="n">
        <v>2548</v>
      </c>
      <c r="C59" s="18">
        <f>(2140.0/B59*100)</f>
        <v/>
      </c>
      <c r="D59" s="19" t="n">
        <v>408</v>
      </c>
      <c r="E59" s="18" t="n">
        <v>71.64267454</v>
      </c>
      <c r="F59" s="20" t="n">
        <v>2.71069165</v>
      </c>
      <c r="G59" s="18" t="n">
        <v>22.78088627</v>
      </c>
      <c r="H59" s="20" t="n">
        <v>2.67576715</v>
      </c>
      <c r="I59" s="18" t="s">
        <v>349</v>
      </c>
      <c r="J59" s="20" t="s">
        <v>349</v>
      </c>
      <c r="K59" s="18" t="n">
        <v>2.46636464</v>
      </c>
      <c r="L59" s="20" t="n">
        <v>0.71075616</v>
      </c>
      <c r="M59" s="18" t="n">
        <v>0</v>
      </c>
      <c r="N59" s="20" t="n">
        <v>0</v>
      </c>
      <c r="O59" s="18" t="n">
        <v>1.3533917</v>
      </c>
      <c r="P59" s="20" t="n">
        <v>0.50585818</v>
      </c>
      <c r="Q59" s="18" t="n">
        <v>1.75668285</v>
      </c>
      <c r="R59" s="20" t="n">
        <v>0.60573812</v>
      </c>
    </row>
    <row r="60" spans="1:18">
      <c r="A60" s="15" t="s">
        <v>402</v>
      </c>
      <c r="B60" s="17" t="n">
        <v>2095</v>
      </c>
      <c r="C60" s="18">
        <f>(1760.0/B60*100)</f>
        <v/>
      </c>
      <c r="D60" s="19" t="n">
        <v>335</v>
      </c>
      <c r="E60" s="18" t="n">
        <v>47.98491852</v>
      </c>
      <c r="F60" s="20" t="n">
        <v>3.20233748</v>
      </c>
      <c r="G60" s="18" t="n">
        <v>31.7882519</v>
      </c>
      <c r="H60" s="20" t="n">
        <v>2.98059611</v>
      </c>
      <c r="I60" s="18" t="s">
        <v>349</v>
      </c>
      <c r="J60" s="20" t="s">
        <v>349</v>
      </c>
      <c r="K60" s="18" t="n">
        <v>6.74043911</v>
      </c>
      <c r="L60" s="20" t="n">
        <v>1.41466029</v>
      </c>
      <c r="M60" s="18" t="n">
        <v>0</v>
      </c>
      <c r="N60" s="20" t="n">
        <v>0</v>
      </c>
      <c r="O60" s="18" t="n">
        <v>5.37096101</v>
      </c>
      <c r="P60" s="20" t="n">
        <v>1.38832217</v>
      </c>
      <c r="Q60" s="18" t="n">
        <v>8.11542946</v>
      </c>
      <c r="R60" s="20" t="n">
        <v>1.55443426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57.24953179</v>
      </c>
      <c r="F63" s="20" t="n">
        <v>2.34830078</v>
      </c>
      <c r="G63" s="18" t="n">
        <v>24.02214988</v>
      </c>
      <c r="H63" s="20" t="n">
        <v>2.08431473</v>
      </c>
      <c r="I63" s="18" t="s">
        <v>349</v>
      </c>
      <c r="J63" s="20" t="s">
        <v>349</v>
      </c>
      <c r="K63" s="18" t="n">
        <v>5.73459484</v>
      </c>
      <c r="L63" s="20" t="n">
        <v>1.07357335</v>
      </c>
      <c r="M63" s="18" t="n">
        <v>0</v>
      </c>
      <c r="N63" s="20" t="n">
        <v>0</v>
      </c>
      <c r="O63" s="18" t="n">
        <v>2.2876117</v>
      </c>
      <c r="P63" s="20" t="n">
        <v>0.74958445</v>
      </c>
      <c r="Q63" s="18" t="n">
        <v>10.7061118</v>
      </c>
      <c r="R63" s="20" t="n">
        <v>1.41696187</v>
      </c>
    </row>
    <row r="64" spans="1:18">
      <c r="A64" s="15" t="s">
        <v>406</v>
      </c>
      <c r="B64" s="17" t="n">
        <v>1844</v>
      </c>
      <c r="C64" s="18">
        <f>(1544.0/B64*100)</f>
        <v/>
      </c>
      <c r="D64" s="19" t="n">
        <v>300</v>
      </c>
      <c r="E64" s="18" t="n">
        <v>40.55347119</v>
      </c>
      <c r="F64" s="20" t="n">
        <v>2.64025279</v>
      </c>
      <c r="G64" s="18" t="n">
        <v>49.46551799</v>
      </c>
      <c r="H64" s="20" t="n">
        <v>2.95496984</v>
      </c>
      <c r="I64" s="18" t="s">
        <v>349</v>
      </c>
      <c r="J64" s="20" t="s">
        <v>349</v>
      </c>
      <c r="K64" s="18" t="n">
        <v>3.08375167</v>
      </c>
      <c r="L64" s="20" t="n">
        <v>1.03181677</v>
      </c>
      <c r="M64" s="18" t="n">
        <v>0</v>
      </c>
      <c r="N64" s="20" t="n">
        <v>0</v>
      </c>
      <c r="O64" s="18" t="n">
        <v>1.04589129</v>
      </c>
      <c r="P64" s="20" t="n">
        <v>0.60104432</v>
      </c>
      <c r="Q64" s="18" t="n">
        <v>5.85136786</v>
      </c>
      <c r="R64" s="20" t="n">
        <v>1.30804138</v>
      </c>
    </row>
    <row r="65" spans="1:18">
      <c r="A65" s="15" t="s">
        <v>407</v>
      </c>
      <c r="B65" s="17" t="n">
        <v>2691</v>
      </c>
      <c r="C65" s="18">
        <f>(2227.0/B65*100)</f>
        <v/>
      </c>
      <c r="D65" s="19" t="n">
        <v>464</v>
      </c>
      <c r="E65" s="18" t="n">
        <v>47.9906522</v>
      </c>
      <c r="F65" s="20" t="n">
        <v>2.45655321</v>
      </c>
      <c r="G65" s="18" t="n">
        <v>29.83673399</v>
      </c>
      <c r="H65" s="20" t="n">
        <v>2.14983953</v>
      </c>
      <c r="I65" s="18" t="s">
        <v>349</v>
      </c>
      <c r="J65" s="20" t="s">
        <v>349</v>
      </c>
      <c r="K65" s="18" t="n">
        <v>8.962090659999999</v>
      </c>
      <c r="L65" s="20" t="n">
        <v>1.45595583</v>
      </c>
      <c r="M65" s="18" t="n">
        <v>4.06683852</v>
      </c>
      <c r="N65" s="20" t="n">
        <v>1.014397</v>
      </c>
      <c r="O65" s="18" t="n">
        <v>0.24517248</v>
      </c>
      <c r="P65" s="20" t="n">
        <v>0.17155199</v>
      </c>
      <c r="Q65" s="18" t="n">
        <v>8.898512139999999</v>
      </c>
      <c r="R65" s="20" t="n">
        <v>1.34211628</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65.60155007</v>
      </c>
      <c r="F69" s="20" t="n">
        <v>2.68716204</v>
      </c>
      <c r="G69" s="18" t="n">
        <v>33.42933294</v>
      </c>
      <c r="H69" s="20" t="n">
        <v>2.76512949</v>
      </c>
      <c r="I69" s="18" t="s">
        <v>349</v>
      </c>
      <c r="J69" s="20" t="s">
        <v>349</v>
      </c>
      <c r="K69" s="18" t="n">
        <v>0</v>
      </c>
      <c r="L69" s="20" t="n">
        <v>0</v>
      </c>
      <c r="M69" s="18" t="n">
        <v>0</v>
      </c>
      <c r="N69" s="20" t="n">
        <v>0</v>
      </c>
      <c r="O69" s="18" t="n">
        <v>0</v>
      </c>
      <c r="P69" s="20" t="n">
        <v>0</v>
      </c>
      <c r="Q69" s="18" t="n">
        <v>0.96911699</v>
      </c>
      <c r="R69" s="20" t="n">
        <v>0.48191343</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55.44400365</v>
      </c>
      <c r="F74" s="20" t="n">
        <v>3.22300756</v>
      </c>
      <c r="G74" s="18" t="n">
        <v>25.86678761</v>
      </c>
      <c r="H74" s="20" t="n">
        <v>2.75024401</v>
      </c>
      <c r="I74" s="18" t="s">
        <v>349</v>
      </c>
      <c r="J74" s="20" t="s">
        <v>349</v>
      </c>
      <c r="K74" s="18" t="n">
        <v>8.99996775</v>
      </c>
      <c r="L74" s="20" t="n">
        <v>1.63851042</v>
      </c>
      <c r="M74" s="18" t="n">
        <v>0</v>
      </c>
      <c r="N74" s="20" t="n">
        <v>0</v>
      </c>
      <c r="O74" s="18" t="n">
        <v>0</v>
      </c>
      <c r="P74" s="20" t="n">
        <v>0</v>
      </c>
      <c r="Q74" s="18" t="n">
        <v>9.68924099</v>
      </c>
      <c r="R74" s="20" t="n">
        <v>1.83749197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44.89000034</v>
      </c>
      <c r="F78" s="20" t="n">
        <v>2.3970908</v>
      </c>
      <c r="G78" s="18" t="n">
        <v>54.92523276</v>
      </c>
      <c r="H78" s="20" t="n">
        <v>2.41298372</v>
      </c>
      <c r="I78" s="18" t="s">
        <v>349</v>
      </c>
      <c r="J78" s="20" t="s">
        <v>349</v>
      </c>
      <c r="K78" s="18" t="n">
        <v>0</v>
      </c>
      <c r="L78" s="20" t="n">
        <v>0</v>
      </c>
      <c r="M78" s="18" t="n">
        <v>0</v>
      </c>
      <c r="N78" s="20" t="n">
        <v>0</v>
      </c>
      <c r="O78" s="18" t="n">
        <v>0</v>
      </c>
      <c r="P78" s="20" t="n">
        <v>0</v>
      </c>
      <c r="Q78" s="18" t="n">
        <v>0.1847669</v>
      </c>
      <c r="R78" s="20" t="n">
        <v>0.18524585</v>
      </c>
    </row>
    <row customHeight="1" ht="25" r="79" spans="1:18">
      <c r="A79" s="15" t="s">
        <v>421</v>
      </c>
      <c r="B79" s="17" t="n">
        <v>787</v>
      </c>
      <c r="C79" s="18">
        <f>(658.0/B79*100)</f>
        <v/>
      </c>
      <c r="D79" s="19" t="n">
        <v>129</v>
      </c>
      <c r="E79" s="18" t="n">
        <v>38.72889018</v>
      </c>
      <c r="F79" s="20" t="n">
        <v>4.62349203</v>
      </c>
      <c r="G79" s="18" t="n">
        <v>38.54733883</v>
      </c>
      <c r="H79" s="20" t="n">
        <v>3.96190861</v>
      </c>
      <c r="I79" s="18" t="s">
        <v>349</v>
      </c>
      <c r="J79" s="20" t="s">
        <v>349</v>
      </c>
      <c r="K79" s="18" t="n">
        <v>13.04190416</v>
      </c>
      <c r="L79" s="20" t="n">
        <v>4.61500074</v>
      </c>
      <c r="M79" s="18" t="n">
        <v>0</v>
      </c>
      <c r="N79" s="20" t="n">
        <v>0</v>
      </c>
      <c r="O79" s="18" t="n">
        <v>0.85719108</v>
      </c>
      <c r="P79" s="20" t="n">
        <v>0.84061433</v>
      </c>
      <c r="Q79" s="18" t="n">
        <v>8.82467576</v>
      </c>
      <c r="R79" s="20" t="n">
        <v>2.20920317</v>
      </c>
    </row>
    <row r="80" spans="1:18">
      <c r="A80" s="15" t="s">
        <v>422</v>
      </c>
      <c r="B80" s="17" t="n">
        <v>3798</v>
      </c>
      <c r="C80" s="18">
        <f>(3177.0/B80*100)</f>
        <v/>
      </c>
      <c r="D80" s="19" t="n">
        <v>621</v>
      </c>
      <c r="E80" s="18" t="n">
        <v>65.36368769000001</v>
      </c>
      <c r="F80" s="20" t="n">
        <v>2.52923758</v>
      </c>
      <c r="G80" s="18" t="n">
        <v>33.80681422</v>
      </c>
      <c r="H80" s="20" t="n">
        <v>2.56808607</v>
      </c>
      <c r="I80" s="18" t="s">
        <v>349</v>
      </c>
      <c r="J80" s="20" t="s">
        <v>349</v>
      </c>
      <c r="K80" s="18" t="n">
        <v>0.82949809</v>
      </c>
      <c r="L80" s="20" t="n">
        <v>0.48411037</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57.6394306</v>
      </c>
      <c r="F44" s="20" t="n">
        <v>2.426356</v>
      </c>
      <c r="G44" s="18" t="n">
        <v>33.17714208</v>
      </c>
      <c r="H44" s="20" t="n">
        <v>2.59077057</v>
      </c>
      <c r="I44" s="18" t="s">
        <v>349</v>
      </c>
      <c r="J44" s="20" t="s">
        <v>349</v>
      </c>
      <c r="K44" s="18" t="n">
        <v>8.60479497</v>
      </c>
      <c r="L44" s="20" t="n">
        <v>1.5383913</v>
      </c>
      <c r="M44" s="18" t="n">
        <v>0</v>
      </c>
      <c r="N44" s="20" t="n">
        <v>0</v>
      </c>
      <c r="O44" s="18" t="n">
        <v>0</v>
      </c>
      <c r="P44" s="20" t="n">
        <v>0</v>
      </c>
      <c r="Q44" s="18" t="n">
        <v>0.57863236</v>
      </c>
      <c r="R44" s="20" t="n">
        <v>0.36403612</v>
      </c>
    </row>
    <row r="45" spans="1:18">
      <c r="A45" s="15" t="s">
        <v>387</v>
      </c>
      <c r="B45" s="17" t="n">
        <v>2849</v>
      </c>
      <c r="C45" s="18">
        <f>(2404.0/B45*100)</f>
        <v/>
      </c>
      <c r="D45" s="19" t="n">
        <v>445</v>
      </c>
      <c r="E45" s="18" t="n">
        <v>62.36408939</v>
      </c>
      <c r="F45" s="20" t="n">
        <v>2.55495042</v>
      </c>
      <c r="G45" s="18" t="n">
        <v>18.5869716</v>
      </c>
      <c r="H45" s="20" t="n">
        <v>2.04531413</v>
      </c>
      <c r="I45" s="18" t="s">
        <v>349</v>
      </c>
      <c r="J45" s="20" t="s">
        <v>349</v>
      </c>
      <c r="K45" s="18" t="n">
        <v>14.31422642</v>
      </c>
      <c r="L45" s="20" t="n">
        <v>1.96440703</v>
      </c>
      <c r="M45" s="18" t="n">
        <v>0.26474223</v>
      </c>
      <c r="N45" s="20" t="n">
        <v>0.25108025</v>
      </c>
      <c r="O45" s="18" t="n">
        <v>2.89123836</v>
      </c>
      <c r="P45" s="20" t="n">
        <v>1.05612579</v>
      </c>
      <c r="Q45" s="18" t="n">
        <v>1.578732</v>
      </c>
      <c r="R45" s="20" t="n">
        <v>0.61668087</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55.75643568</v>
      </c>
      <c r="F49" s="20" t="n">
        <v>2.91078474</v>
      </c>
      <c r="G49" s="18" t="n">
        <v>37.09422676</v>
      </c>
      <c r="H49" s="20" t="n">
        <v>2.67672887</v>
      </c>
      <c r="I49" s="18" t="s">
        <v>349</v>
      </c>
      <c r="J49" s="20" t="s">
        <v>349</v>
      </c>
      <c r="K49" s="18" t="n">
        <v>6.65158166</v>
      </c>
      <c r="L49" s="20" t="n">
        <v>1.45751158</v>
      </c>
      <c r="M49" s="18" t="n">
        <v>0</v>
      </c>
      <c r="N49" s="20" t="n">
        <v>0</v>
      </c>
      <c r="O49" s="18" t="n">
        <v>0</v>
      </c>
      <c r="P49" s="20" t="n">
        <v>0</v>
      </c>
      <c r="Q49" s="18" t="n">
        <v>0.4977559</v>
      </c>
      <c r="R49" s="20" t="n">
        <v>0.37542828</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56.1067259</v>
      </c>
      <c r="F55" s="20" t="n">
        <v>2.11061878</v>
      </c>
      <c r="G55" s="18" t="n">
        <v>37.60982164</v>
      </c>
      <c r="H55" s="20" t="n">
        <v>2.14826835</v>
      </c>
      <c r="I55" s="18" t="s">
        <v>349</v>
      </c>
      <c r="J55" s="20" t="s">
        <v>349</v>
      </c>
      <c r="K55" s="18" t="n">
        <v>5.92146317</v>
      </c>
      <c r="L55" s="20" t="n">
        <v>1.03624703</v>
      </c>
      <c r="M55" s="18" t="n">
        <v>0</v>
      </c>
      <c r="N55" s="20" t="n">
        <v>0</v>
      </c>
      <c r="O55" s="18" t="n">
        <v>0.18742484</v>
      </c>
      <c r="P55" s="20" t="n">
        <v>0.1859546</v>
      </c>
      <c r="Q55" s="18" t="n">
        <v>0.17456445</v>
      </c>
      <c r="R55" s="20" t="n">
        <v>0.17427831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69.38732435999999</v>
      </c>
      <c r="F57" s="20" t="n">
        <v>2.59431224</v>
      </c>
      <c r="G57" s="18" t="n">
        <v>27.99567906</v>
      </c>
      <c r="H57" s="20" t="n">
        <v>2.46946096</v>
      </c>
      <c r="I57" s="18" t="s">
        <v>349</v>
      </c>
      <c r="J57" s="20" t="s">
        <v>349</v>
      </c>
      <c r="K57" s="18" t="n">
        <v>2.43691124</v>
      </c>
      <c r="L57" s="20" t="n">
        <v>0.69848733</v>
      </c>
      <c r="M57" s="18" t="n">
        <v>0</v>
      </c>
      <c r="N57" s="20" t="n">
        <v>0</v>
      </c>
      <c r="O57" s="18" t="n">
        <v>0</v>
      </c>
      <c r="P57" s="20" t="n">
        <v>0</v>
      </c>
      <c r="Q57" s="18" t="n">
        <v>0.18008534</v>
      </c>
      <c r="R57" s="20" t="n">
        <v>0.05279769</v>
      </c>
    </row>
    <row r="58" spans="1:18">
      <c r="A58" s="15" t="s">
        <v>400</v>
      </c>
      <c r="B58" s="17" t="n">
        <v>3530</v>
      </c>
      <c r="C58" s="18">
        <f>(2924.0/B58*100)</f>
        <v/>
      </c>
      <c r="D58" s="19" t="n">
        <v>606</v>
      </c>
      <c r="E58" s="18" t="n">
        <v>65.04422407</v>
      </c>
      <c r="F58" s="20" t="n">
        <v>2.95882077</v>
      </c>
      <c r="G58" s="18" t="n">
        <v>28.14485394</v>
      </c>
      <c r="H58" s="20" t="n">
        <v>2.58134515</v>
      </c>
      <c r="I58" s="18" t="s">
        <v>349</v>
      </c>
      <c r="J58" s="20" t="s">
        <v>349</v>
      </c>
      <c r="K58" s="18" t="n">
        <v>5.26865191</v>
      </c>
      <c r="L58" s="20" t="n">
        <v>0.95777752</v>
      </c>
      <c r="M58" s="18" t="n">
        <v>0</v>
      </c>
      <c r="N58" s="20" t="n">
        <v>0</v>
      </c>
      <c r="O58" s="18" t="n">
        <v>0.65032638</v>
      </c>
      <c r="P58" s="20" t="n">
        <v>0.56991646</v>
      </c>
      <c r="Q58" s="18" t="n">
        <v>0.8919437</v>
      </c>
      <c r="R58" s="20" t="n">
        <v>0.52544625</v>
      </c>
    </row>
    <row r="59" spans="1:18">
      <c r="A59" s="15" t="s">
        <v>401</v>
      </c>
      <c r="B59" s="17" t="n">
        <v>2548</v>
      </c>
      <c r="C59" s="18">
        <f>(2140.0/B59*100)</f>
        <v/>
      </c>
      <c r="D59" s="19" t="n">
        <v>408</v>
      </c>
      <c r="E59" s="18" t="n">
        <v>63.14225154</v>
      </c>
      <c r="F59" s="20" t="n">
        <v>3.21479911</v>
      </c>
      <c r="G59" s="18" t="n">
        <v>32.5881289</v>
      </c>
      <c r="H59" s="20" t="n">
        <v>3.24706993</v>
      </c>
      <c r="I59" s="18" t="s">
        <v>349</v>
      </c>
      <c r="J59" s="20" t="s">
        <v>349</v>
      </c>
      <c r="K59" s="18" t="n">
        <v>3.06930843</v>
      </c>
      <c r="L59" s="20" t="n">
        <v>0.8631277000000001</v>
      </c>
      <c r="M59" s="18" t="n">
        <v>0</v>
      </c>
      <c r="N59" s="20" t="n">
        <v>0</v>
      </c>
      <c r="O59" s="18" t="n">
        <v>0.54828828</v>
      </c>
      <c r="P59" s="20" t="n">
        <v>0.31877372</v>
      </c>
      <c r="Q59" s="18" t="n">
        <v>0.65202285</v>
      </c>
      <c r="R59" s="20" t="n">
        <v>0.37006412</v>
      </c>
    </row>
    <row r="60" spans="1:18">
      <c r="A60" s="15" t="s">
        <v>402</v>
      </c>
      <c r="B60" s="17" t="n">
        <v>2095</v>
      </c>
      <c r="C60" s="18">
        <f>(1760.0/B60*100)</f>
        <v/>
      </c>
      <c r="D60" s="19" t="n">
        <v>335</v>
      </c>
      <c r="E60" s="18" t="n">
        <v>51.84130311</v>
      </c>
      <c r="F60" s="20" t="n">
        <v>3.52550394</v>
      </c>
      <c r="G60" s="18" t="n">
        <v>39.47188497</v>
      </c>
      <c r="H60" s="20" t="n">
        <v>3.42821724</v>
      </c>
      <c r="I60" s="18" t="s">
        <v>349</v>
      </c>
      <c r="J60" s="20" t="s">
        <v>349</v>
      </c>
      <c r="K60" s="18" t="n">
        <v>7.36230995</v>
      </c>
      <c r="L60" s="20" t="n">
        <v>1.50105866</v>
      </c>
      <c r="M60" s="18" t="n">
        <v>0</v>
      </c>
      <c r="N60" s="20" t="n">
        <v>0</v>
      </c>
      <c r="O60" s="18" t="n">
        <v>1.00257963</v>
      </c>
      <c r="P60" s="20" t="n">
        <v>0.6795063</v>
      </c>
      <c r="Q60" s="18" t="n">
        <v>0.32192234</v>
      </c>
      <c r="R60" s="20" t="n">
        <v>0.3318106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63.37185159</v>
      </c>
      <c r="F63" s="20" t="n">
        <v>2.07545412</v>
      </c>
      <c r="G63" s="18" t="n">
        <v>28.76455067</v>
      </c>
      <c r="H63" s="20" t="n">
        <v>2.08972307</v>
      </c>
      <c r="I63" s="18" t="s">
        <v>349</v>
      </c>
      <c r="J63" s="20" t="s">
        <v>349</v>
      </c>
      <c r="K63" s="18" t="n">
        <v>6.03252356</v>
      </c>
      <c r="L63" s="20" t="n">
        <v>1.07585959</v>
      </c>
      <c r="M63" s="18" t="n">
        <v>0</v>
      </c>
      <c r="N63" s="20" t="n">
        <v>0</v>
      </c>
      <c r="O63" s="18" t="n">
        <v>0.24301158</v>
      </c>
      <c r="P63" s="20" t="n">
        <v>0.24137712</v>
      </c>
      <c r="Q63" s="18" t="n">
        <v>1.5880626</v>
      </c>
      <c r="R63" s="20" t="n">
        <v>0.54159827</v>
      </c>
    </row>
    <row r="64" spans="1:18">
      <c r="A64" s="15" t="s">
        <v>406</v>
      </c>
      <c r="B64" s="17" t="n">
        <v>1844</v>
      </c>
      <c r="C64" s="18">
        <f>(1544.0/B64*100)</f>
        <v/>
      </c>
      <c r="D64" s="19" t="n">
        <v>300</v>
      </c>
      <c r="E64" s="18" t="n">
        <v>61.35859811</v>
      </c>
      <c r="F64" s="20" t="n">
        <v>2.47535385</v>
      </c>
      <c r="G64" s="18" t="n">
        <v>34.17082224</v>
      </c>
      <c r="H64" s="20" t="n">
        <v>2.55781458</v>
      </c>
      <c r="I64" s="18" t="s">
        <v>349</v>
      </c>
      <c r="J64" s="20" t="s">
        <v>349</v>
      </c>
      <c r="K64" s="18" t="n">
        <v>3.79098356</v>
      </c>
      <c r="L64" s="20" t="n">
        <v>1.14630625</v>
      </c>
      <c r="M64" s="18" t="n">
        <v>0</v>
      </c>
      <c r="N64" s="20" t="n">
        <v>0</v>
      </c>
      <c r="O64" s="18" t="n">
        <v>0.67959609</v>
      </c>
      <c r="P64" s="20" t="n">
        <v>0.46935473</v>
      </c>
      <c r="Q64" s="18" t="n">
        <v>0</v>
      </c>
      <c r="R64" s="20" t="n">
        <v>0</v>
      </c>
    </row>
    <row r="65" spans="1:18">
      <c r="A65" s="15" t="s">
        <v>407</v>
      </c>
      <c r="B65" s="17" t="n">
        <v>2691</v>
      </c>
      <c r="C65" s="18">
        <f>(2227.0/B65*100)</f>
        <v/>
      </c>
      <c r="D65" s="19" t="n">
        <v>464</v>
      </c>
      <c r="E65" s="18" t="n">
        <v>54.90184778</v>
      </c>
      <c r="F65" s="20" t="n">
        <v>2.22109358</v>
      </c>
      <c r="G65" s="18" t="n">
        <v>33.71928385</v>
      </c>
      <c r="H65" s="20" t="n">
        <v>2.22133669</v>
      </c>
      <c r="I65" s="18" t="s">
        <v>349</v>
      </c>
      <c r="J65" s="20" t="s">
        <v>349</v>
      </c>
      <c r="K65" s="18" t="n">
        <v>9.866401460000001</v>
      </c>
      <c r="L65" s="20" t="n">
        <v>1.551822</v>
      </c>
      <c r="M65" s="18" t="n">
        <v>0.8617771400000001</v>
      </c>
      <c r="N65" s="20" t="n">
        <v>0.5129228300000001</v>
      </c>
      <c r="O65" s="18" t="n">
        <v>0</v>
      </c>
      <c r="P65" s="20" t="n">
        <v>0</v>
      </c>
      <c r="Q65" s="18" t="n">
        <v>0.65068978</v>
      </c>
      <c r="R65" s="20" t="n">
        <v>0.40840248</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61.47563848</v>
      </c>
      <c r="F69" s="20" t="n">
        <v>2.45405594</v>
      </c>
      <c r="G69" s="18" t="n">
        <v>38.52436152</v>
      </c>
      <c r="H69" s="20" t="n">
        <v>2.45405594</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59.88928555</v>
      </c>
      <c r="F74" s="20" t="n">
        <v>2.83207415</v>
      </c>
      <c r="G74" s="18" t="n">
        <v>28.89838133</v>
      </c>
      <c r="H74" s="20" t="n">
        <v>2.51172587</v>
      </c>
      <c r="I74" s="18" t="s">
        <v>349</v>
      </c>
      <c r="J74" s="20" t="s">
        <v>349</v>
      </c>
      <c r="K74" s="18" t="n">
        <v>11.21233312</v>
      </c>
      <c r="L74" s="20" t="n">
        <v>1.69366658</v>
      </c>
      <c r="M74" s="18" t="n">
        <v>0</v>
      </c>
      <c r="N74" s="20" t="n">
        <v>0</v>
      </c>
      <c r="O74" s="18" t="n">
        <v>0</v>
      </c>
      <c r="P74" s="20" t="n">
        <v>0</v>
      </c>
      <c r="Q74" s="18" t="n">
        <v>0</v>
      </c>
      <c r="R74" s="20" t="n">
        <v>0</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34.77538832</v>
      </c>
      <c r="F78" s="20" t="n">
        <v>2.53482703</v>
      </c>
      <c r="G78" s="18" t="n">
        <v>65.22461168</v>
      </c>
      <c r="H78" s="20" t="n">
        <v>2.53482703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(658.0/B79*100)</f>
        <v/>
      </c>
      <c r="D79" s="19" t="n">
        <v>129</v>
      </c>
      <c r="E79" s="18" t="n">
        <v>41.17880561</v>
      </c>
      <c r="F79" s="20" t="n">
        <v>4.74225126</v>
      </c>
      <c r="G79" s="18" t="n">
        <v>45.77929023</v>
      </c>
      <c r="H79" s="20" t="n">
        <v>4.11926475</v>
      </c>
      <c r="I79" s="18" t="s">
        <v>349</v>
      </c>
      <c r="J79" s="20" t="s">
        <v>349</v>
      </c>
      <c r="K79" s="18" t="n">
        <v>13.04190416</v>
      </c>
      <c r="L79" s="20" t="n">
        <v>4.61500074</v>
      </c>
      <c r="M79" s="18" t="n">
        <v>0</v>
      </c>
      <c r="N79" s="20" t="n">
        <v>0</v>
      </c>
      <c r="O79" s="18" t="n">
        <v>0</v>
      </c>
      <c r="P79" s="20" t="n">
        <v>0</v>
      </c>
      <c r="Q79" s="18" t="n">
        <v>0</v>
      </c>
      <c r="R79" s="20" t="n">
        <v>0</v>
      </c>
    </row>
    <row r="80" spans="1:18">
      <c r="A80" s="15" t="s">
        <v>422</v>
      </c>
      <c r="B80" s="17" t="n">
        <v>3798</v>
      </c>
      <c r="C80" s="18">
        <f>(3177.0/B80*100)</f>
        <v/>
      </c>
      <c r="D80" s="19" t="n">
        <v>621</v>
      </c>
      <c r="E80" s="18" t="n">
        <v>43.67418169</v>
      </c>
      <c r="F80" s="20" t="n">
        <v>2.34279482</v>
      </c>
      <c r="G80" s="18" t="n">
        <v>55.49632022</v>
      </c>
      <c r="H80" s="20" t="n">
        <v>2.45347056</v>
      </c>
      <c r="I80" s="18" t="s">
        <v>349</v>
      </c>
      <c r="J80" s="20" t="s">
        <v>349</v>
      </c>
      <c r="K80" s="18" t="n">
        <v>0.82949809</v>
      </c>
      <c r="L80" s="20" t="n">
        <v>0.48411037</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(2115.0/B44*100)</f>
        <v/>
      </c>
      <c r="D44" s="19" t="n">
        <v>409</v>
      </c>
      <c r="E44" s="18" t="n">
        <v>51.78582699</v>
      </c>
      <c r="F44" s="20" t="n">
        <v>2.81232499</v>
      </c>
      <c r="G44" s="18" t="n">
        <v>31.71277936</v>
      </c>
      <c r="H44" s="20" t="n">
        <v>2.84964572</v>
      </c>
      <c r="I44" s="18" t="s">
        <v>349</v>
      </c>
      <c r="J44" s="20" t="s">
        <v>349</v>
      </c>
      <c r="K44" s="18" t="n">
        <v>16.17968942</v>
      </c>
      <c r="L44" s="20" t="n">
        <v>2.3124343</v>
      </c>
      <c r="M44" s="18" t="n">
        <v>0</v>
      </c>
      <c r="N44" s="20" t="n">
        <v>0</v>
      </c>
      <c r="O44" s="18" t="n">
        <v>0.32170423</v>
      </c>
      <c r="P44" s="20" t="n">
        <v>0.22962612</v>
      </c>
      <c r="Q44" s="18" t="n">
        <v>0</v>
      </c>
      <c r="R44" s="20" t="n">
        <v>0</v>
      </c>
    </row>
    <row r="45" spans="1:18">
      <c r="A45" s="15" t="s">
        <v>387</v>
      </c>
      <c r="B45" s="17" t="n">
        <v>2849</v>
      </c>
      <c r="C45" s="18">
        <f>(2404.0/B45*100)</f>
        <v/>
      </c>
      <c r="D45" s="19" t="n">
        <v>445</v>
      </c>
      <c r="E45" s="18" t="n">
        <v>58.00785825</v>
      </c>
      <c r="F45" s="20" t="n">
        <v>2.73306261</v>
      </c>
      <c r="G45" s="18" t="n">
        <v>19.57062773</v>
      </c>
      <c r="H45" s="20" t="n">
        <v>1.97108987</v>
      </c>
      <c r="I45" s="18" t="s">
        <v>349</v>
      </c>
      <c r="J45" s="20" t="s">
        <v>349</v>
      </c>
      <c r="K45" s="18" t="n">
        <v>18.18486431</v>
      </c>
      <c r="L45" s="20" t="n">
        <v>2.50853015</v>
      </c>
      <c r="M45" s="18" t="n">
        <v>0.50534338</v>
      </c>
      <c r="N45" s="20" t="n">
        <v>0.3821156</v>
      </c>
      <c r="O45" s="18" t="n">
        <v>3.73130633</v>
      </c>
      <c r="P45" s="20" t="n">
        <v>1.01607658</v>
      </c>
      <c r="Q45" s="18" t="n">
        <v>0</v>
      </c>
      <c r="R45" s="20" t="n">
        <v>0</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(2552.0/B49*100)</f>
        <v/>
      </c>
      <c r="D49" s="19" t="n">
        <v>466</v>
      </c>
      <c r="E49" s="18" t="n">
        <v>52.21637966</v>
      </c>
      <c r="F49" s="20" t="n">
        <v>2.64016145</v>
      </c>
      <c r="G49" s="18" t="n">
        <v>39.39304094</v>
      </c>
      <c r="H49" s="20" t="n">
        <v>2.8126522</v>
      </c>
      <c r="I49" s="18" t="s">
        <v>349</v>
      </c>
      <c r="J49" s="20" t="s">
        <v>349</v>
      </c>
      <c r="K49" s="18" t="n">
        <v>8.13731913</v>
      </c>
      <c r="L49" s="20" t="n">
        <v>1.6687776</v>
      </c>
      <c r="M49" s="18" t="n">
        <v>0</v>
      </c>
      <c r="N49" s="20" t="n">
        <v>0</v>
      </c>
      <c r="O49" s="18" t="n">
        <v>0.25326028</v>
      </c>
      <c r="P49" s="20" t="n">
        <v>0.24683361</v>
      </c>
      <c r="Q49" s="18" t="n">
        <v>0</v>
      </c>
      <c r="R49" s="20" t="n">
        <v>0</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(2305.0/B55*100)</f>
        <v/>
      </c>
      <c r="D55" s="19" t="n">
        <v>454</v>
      </c>
      <c r="E55" s="18" t="n">
        <v>52.08382823</v>
      </c>
      <c r="F55" s="20" t="n">
        <v>2.57664438</v>
      </c>
      <c r="G55" s="18" t="n">
        <v>38.46665501</v>
      </c>
      <c r="H55" s="20" t="n">
        <v>2.45243493</v>
      </c>
      <c r="I55" s="18" t="s">
        <v>349</v>
      </c>
      <c r="J55" s="20" t="s">
        <v>349</v>
      </c>
      <c r="K55" s="18" t="n">
        <v>9.265926929999999</v>
      </c>
      <c r="L55" s="20" t="n">
        <v>1.33130826</v>
      </c>
      <c r="M55" s="18" t="n">
        <v>0</v>
      </c>
      <c r="N55" s="20" t="n">
        <v>0</v>
      </c>
      <c r="O55" s="18" t="n">
        <v>0.18358984</v>
      </c>
      <c r="P55" s="20" t="n">
        <v>0.18417536</v>
      </c>
      <c r="Q55" s="18" t="n">
        <v>0</v>
      </c>
      <c r="R55" s="20" t="n">
        <v>0</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(2663.0/B57*100)</f>
        <v/>
      </c>
      <c r="D57" s="19" t="n">
        <v>507</v>
      </c>
      <c r="E57" s="18" t="n">
        <v>66.04628035</v>
      </c>
      <c r="F57" s="20" t="n">
        <v>2.18025255</v>
      </c>
      <c r="G57" s="18" t="n">
        <v>30.20980393</v>
      </c>
      <c r="H57" s="20" t="n">
        <v>2.05394896</v>
      </c>
      <c r="I57" s="18" t="s">
        <v>349</v>
      </c>
      <c r="J57" s="20" t="s">
        <v>349</v>
      </c>
      <c r="K57" s="18" t="n">
        <v>3.74391572</v>
      </c>
      <c r="L57" s="20" t="n">
        <v>0.90633357</v>
      </c>
      <c r="M57" s="18" t="n">
        <v>0</v>
      </c>
      <c r="N57" s="20" t="n">
        <v>0</v>
      </c>
      <c r="O57" s="18" t="n">
        <v>0</v>
      </c>
      <c r="P57" s="20" t="n">
        <v>0</v>
      </c>
      <c r="Q57" s="18" t="n">
        <v>0</v>
      </c>
      <c r="R57" s="20" t="n">
        <v>0</v>
      </c>
    </row>
    <row r="58" spans="1:18">
      <c r="A58" s="15" t="s">
        <v>400</v>
      </c>
      <c r="B58" s="17" t="n">
        <v>3530</v>
      </c>
      <c r="C58" s="18">
        <f>(2924.0/B58*100)</f>
        <v/>
      </c>
      <c r="D58" s="19" t="n">
        <v>606</v>
      </c>
      <c r="E58" s="18" t="n">
        <v>63.16303325</v>
      </c>
      <c r="F58" s="20" t="n">
        <v>2.33852072</v>
      </c>
      <c r="G58" s="18" t="n">
        <v>28.5906483</v>
      </c>
      <c r="H58" s="20" t="n">
        <v>2.32868603</v>
      </c>
      <c r="I58" s="18" t="s">
        <v>349</v>
      </c>
      <c r="J58" s="20" t="s">
        <v>349</v>
      </c>
      <c r="K58" s="18" t="n">
        <v>6.65895242</v>
      </c>
      <c r="L58" s="20" t="n">
        <v>1.03092236</v>
      </c>
      <c r="M58" s="18" t="n">
        <v>0</v>
      </c>
      <c r="N58" s="20" t="n">
        <v>0</v>
      </c>
      <c r="O58" s="18" t="n">
        <v>1.58736604</v>
      </c>
      <c r="P58" s="20" t="n">
        <v>0.79147219</v>
      </c>
      <c r="Q58" s="18" t="n">
        <v>0</v>
      </c>
      <c r="R58" s="20" t="n">
        <v>0</v>
      </c>
    </row>
    <row r="59" spans="1:18">
      <c r="A59" s="15" t="s">
        <v>401</v>
      </c>
      <c r="B59" s="17" t="n">
        <v>2548</v>
      </c>
      <c r="C59" s="18">
        <f>(2140.0/B59*100)</f>
        <v/>
      </c>
      <c r="D59" s="19" t="n">
        <v>408</v>
      </c>
      <c r="E59" s="18" t="n">
        <v>63.16851458</v>
      </c>
      <c r="F59" s="20" t="n">
        <v>2.61599935</v>
      </c>
      <c r="G59" s="18" t="n">
        <v>32.622362</v>
      </c>
      <c r="H59" s="20" t="n">
        <v>2.64690571</v>
      </c>
      <c r="I59" s="18" t="s">
        <v>349</v>
      </c>
      <c r="J59" s="20" t="s">
        <v>349</v>
      </c>
      <c r="K59" s="18" t="n">
        <v>4.05488595</v>
      </c>
      <c r="L59" s="20" t="n">
        <v>1.12739893</v>
      </c>
      <c r="M59" s="18" t="n">
        <v>0</v>
      </c>
      <c r="N59" s="20" t="n">
        <v>0</v>
      </c>
      <c r="O59" s="18" t="n">
        <v>0.15423747</v>
      </c>
      <c r="P59" s="20" t="n">
        <v>0.15339264</v>
      </c>
      <c r="Q59" s="18" t="n">
        <v>0</v>
      </c>
      <c r="R59" s="20" t="n">
        <v>0</v>
      </c>
    </row>
    <row r="60" spans="1:18">
      <c r="A60" s="15" t="s">
        <v>402</v>
      </c>
      <c r="B60" s="17" t="n">
        <v>2095</v>
      </c>
      <c r="C60" s="18">
        <f>(1760.0/B60*100)</f>
        <v/>
      </c>
      <c r="D60" s="19" t="n">
        <v>335</v>
      </c>
      <c r="E60" s="18" t="n">
        <v>56.49965547</v>
      </c>
      <c r="F60" s="20" t="n">
        <v>2.98260176</v>
      </c>
      <c r="G60" s="18" t="n">
        <v>32.04048636</v>
      </c>
      <c r="H60" s="20" t="n">
        <v>2.80457398</v>
      </c>
      <c r="I60" s="18" t="s">
        <v>349</v>
      </c>
      <c r="J60" s="20" t="s">
        <v>349</v>
      </c>
      <c r="K60" s="18" t="n">
        <v>9.82598117</v>
      </c>
      <c r="L60" s="20" t="n">
        <v>1.77583388</v>
      </c>
      <c r="M60" s="18" t="n">
        <v>0</v>
      </c>
      <c r="N60" s="20" t="n">
        <v>0</v>
      </c>
      <c r="O60" s="18" t="n">
        <v>1.63387701</v>
      </c>
      <c r="P60" s="20" t="n">
        <v>0.81409751</v>
      </c>
      <c r="Q60" s="18" t="n">
        <v>0</v>
      </c>
      <c r="R60" s="20" t="n">
        <v>0</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52.29597616</v>
      </c>
      <c r="F63" s="20" t="n">
        <v>2.76577041</v>
      </c>
      <c r="G63" s="18" t="n">
        <v>39.28510785</v>
      </c>
      <c r="H63" s="20" t="n">
        <v>2.60130709</v>
      </c>
      <c r="I63" s="18" t="s">
        <v>349</v>
      </c>
      <c r="J63" s="20" t="s">
        <v>349</v>
      </c>
      <c r="K63" s="18" t="n">
        <v>8.17590442</v>
      </c>
      <c r="L63" s="20" t="n">
        <v>1.29969183</v>
      </c>
      <c r="M63" s="18" t="n">
        <v>0</v>
      </c>
      <c r="N63" s="20" t="n">
        <v>0</v>
      </c>
      <c r="O63" s="18" t="n">
        <v>0.24301158</v>
      </c>
      <c r="P63" s="20" t="n">
        <v>0.24137712</v>
      </c>
      <c r="Q63" s="18" t="n">
        <v>0</v>
      </c>
      <c r="R63" s="20" t="n">
        <v>0</v>
      </c>
    </row>
    <row r="64" spans="1:18">
      <c r="A64" s="15" t="s">
        <v>406</v>
      </c>
      <c r="B64" s="17" t="n">
        <v>1844</v>
      </c>
      <c r="C64" s="18">
        <f>(1544.0/B64*100)</f>
        <v/>
      </c>
      <c r="D64" s="19" t="n">
        <v>300</v>
      </c>
      <c r="E64" s="18" t="n">
        <v>50.35764858</v>
      </c>
      <c r="F64" s="20" t="n">
        <v>2.58975065</v>
      </c>
      <c r="G64" s="18" t="n">
        <v>44.22917595</v>
      </c>
      <c r="H64" s="20" t="n">
        <v>2.50896517</v>
      </c>
      <c r="I64" s="18" t="s">
        <v>349</v>
      </c>
      <c r="J64" s="20" t="s">
        <v>349</v>
      </c>
      <c r="K64" s="18" t="n">
        <v>5.08958011</v>
      </c>
      <c r="L64" s="20" t="n">
        <v>1.29943389</v>
      </c>
      <c r="M64" s="18" t="n">
        <v>0</v>
      </c>
      <c r="N64" s="20" t="n">
        <v>0</v>
      </c>
      <c r="O64" s="18" t="n">
        <v>0.32359536</v>
      </c>
      <c r="P64" s="20" t="n">
        <v>0.31910206</v>
      </c>
      <c r="Q64" s="18" t="n">
        <v>0</v>
      </c>
      <c r="R64" s="20" t="n">
        <v>0</v>
      </c>
    </row>
    <row r="65" spans="1:18">
      <c r="A65" s="15" t="s">
        <v>407</v>
      </c>
      <c r="B65" s="17" t="n">
        <v>2691</v>
      </c>
      <c r="C65" s="18">
        <f>(2227.0/B65*100)</f>
        <v/>
      </c>
      <c r="D65" s="19" t="n">
        <v>464</v>
      </c>
      <c r="E65" s="18" t="n">
        <v>49.07098382</v>
      </c>
      <c r="F65" s="20" t="n">
        <v>2.28806051</v>
      </c>
      <c r="G65" s="18" t="n">
        <v>36.81214562</v>
      </c>
      <c r="H65" s="20" t="n">
        <v>2.32921781</v>
      </c>
      <c r="I65" s="18" t="s">
        <v>349</v>
      </c>
      <c r="J65" s="20" t="s">
        <v>349</v>
      </c>
      <c r="K65" s="18" t="n">
        <v>14.11687056</v>
      </c>
      <c r="L65" s="20" t="n">
        <v>1.81201892</v>
      </c>
      <c r="M65" s="18" t="n">
        <v>0</v>
      </c>
      <c r="N65" s="20" t="n">
        <v>0</v>
      </c>
      <c r="O65" s="18" t="n">
        <v>0</v>
      </c>
      <c r="P65" s="20" t="n">
        <v>0</v>
      </c>
      <c r="Q65" s="18" t="n">
        <v>0</v>
      </c>
      <c r="R65" s="20" t="n">
        <v>0</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(2013.0/B69*100)</f>
        <v/>
      </c>
      <c r="D69" s="19" t="n">
        <v>397</v>
      </c>
      <c r="E69" s="18" t="n">
        <v>60.77741214</v>
      </c>
      <c r="F69" s="20" t="n">
        <v>2.78966311</v>
      </c>
      <c r="G69" s="18" t="n">
        <v>38.97905089</v>
      </c>
      <c r="H69" s="20" t="n">
        <v>2.79094248</v>
      </c>
      <c r="I69" s="18" t="s">
        <v>349</v>
      </c>
      <c r="J69" s="20" t="s">
        <v>349</v>
      </c>
      <c r="K69" s="18" t="n">
        <v>0.24353697</v>
      </c>
      <c r="L69" s="20" t="n">
        <v>0.24391171</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(1881.0/B74*100)</f>
        <v/>
      </c>
      <c r="D74" s="19" t="n">
        <v>358</v>
      </c>
      <c r="E74" s="18" t="n">
        <v>57.80258785</v>
      </c>
      <c r="F74" s="20" t="n">
        <v>2.70421113</v>
      </c>
      <c r="G74" s="18" t="n">
        <v>28.65028014</v>
      </c>
      <c r="H74" s="20" t="n">
        <v>2.34037457</v>
      </c>
      <c r="I74" s="18" t="s">
        <v>349</v>
      </c>
      <c r="J74" s="20" t="s">
        <v>349</v>
      </c>
      <c r="K74" s="18" t="n">
        <v>13.54713201</v>
      </c>
      <c r="L74" s="20" t="n">
        <v>1.86727973</v>
      </c>
      <c r="M74" s="18" t="n">
        <v>0</v>
      </c>
      <c r="N74" s="20" t="n">
        <v>0</v>
      </c>
      <c r="O74" s="18" t="n">
        <v>0</v>
      </c>
      <c r="P74" s="20" t="n">
        <v>0</v>
      </c>
      <c r="Q74" s="18" t="n">
        <v>0</v>
      </c>
      <c r="R74" s="20" t="n">
        <v>0</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(2324.0/B78*100)</f>
        <v/>
      </c>
      <c r="D78" s="19" t="n">
        <v>462</v>
      </c>
      <c r="E78" s="18" t="n">
        <v>18.92107827</v>
      </c>
      <c r="F78" s="20" t="n">
        <v>2.06250737</v>
      </c>
      <c r="G78" s="18" t="n">
        <v>81.07892173</v>
      </c>
      <c r="H78" s="20" t="n">
        <v>2.06250737</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(658.0/B79*100)</f>
        <v/>
      </c>
      <c r="D79" s="19" t="n">
        <v>129</v>
      </c>
      <c r="E79" s="18" t="n">
        <v>44.91172695</v>
      </c>
      <c r="F79" s="20" t="n">
        <v>4.88540547</v>
      </c>
      <c r="G79" s="18" t="n">
        <v>37.87678081</v>
      </c>
      <c r="H79" s="20" t="n">
        <v>3.91167992</v>
      </c>
      <c r="I79" s="18" t="s">
        <v>349</v>
      </c>
      <c r="J79" s="20" t="s">
        <v>349</v>
      </c>
      <c r="K79" s="18" t="n">
        <v>17.21149224</v>
      </c>
      <c r="L79" s="20" t="n">
        <v>4.75416298</v>
      </c>
      <c r="M79" s="18" t="n">
        <v>0</v>
      </c>
      <c r="N79" s="20" t="n">
        <v>0</v>
      </c>
      <c r="O79" s="18" t="n">
        <v>0</v>
      </c>
      <c r="P79" s="20" t="n">
        <v>0</v>
      </c>
      <c r="Q79" s="18" t="n">
        <v>0</v>
      </c>
      <c r="R79" s="20" t="n">
        <v>0</v>
      </c>
    </row>
    <row r="80" spans="1:18">
      <c r="A80" s="15" t="s">
        <v>422</v>
      </c>
      <c r="B80" s="17" t="n">
        <v>3798</v>
      </c>
      <c r="C80" s="18">
        <f>(3177.0/B80*100)</f>
        <v/>
      </c>
      <c r="D80" s="19" t="n">
        <v>621</v>
      </c>
      <c r="E80" s="18" t="n">
        <v>45.77197628</v>
      </c>
      <c r="F80" s="20" t="n">
        <v>2.79319365</v>
      </c>
      <c r="G80" s="18" t="n">
        <v>53.39852563</v>
      </c>
      <c r="H80" s="20" t="n">
        <v>2.83938696</v>
      </c>
      <c r="I80" s="18" t="s">
        <v>349</v>
      </c>
      <c r="J80" s="20" t="s">
        <v>349</v>
      </c>
      <c r="K80" s="18" t="n">
        <v>0.82949809</v>
      </c>
      <c r="L80" s="20" t="n">
        <v>0.48411037</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47.80609427</v>
      </c>
      <c r="F44" s="20" t="n">
        <v>3.28136548</v>
      </c>
      <c r="G44" s="18" t="n">
        <v>32.44984192</v>
      </c>
      <c r="H44" s="20" t="n">
        <v>3.091555</v>
      </c>
      <c r="I44" s="18" t="s">
        <v>349</v>
      </c>
      <c r="J44" s="20" t="s">
        <v>349</v>
      </c>
      <c r="K44" s="18" t="n">
        <v>2.62724677</v>
      </c>
      <c r="L44" s="20" t="n">
        <v>0.75745177</v>
      </c>
      <c r="M44" s="18" t="n">
        <v>0</v>
      </c>
      <c r="N44" s="20" t="n">
        <v>0</v>
      </c>
      <c r="O44" s="18" t="n">
        <v>3.34970596</v>
      </c>
      <c r="P44" s="20" t="n">
        <v>1.02260612</v>
      </c>
      <c r="Q44" s="18" t="n">
        <v>13.76711107</v>
      </c>
      <c r="R44" s="20" t="n">
        <v>2.06233979</v>
      </c>
    </row>
    <row r="45" spans="1:18">
      <c r="A45" s="15" t="s">
        <v>387</v>
      </c>
      <c r="B45" s="17" t="n">
        <v>2849</v>
      </c>
      <c r="C45" s="18">
        <f>(2380.0/B45*100)</f>
        <v/>
      </c>
      <c r="D45" s="19" t="n">
        <v>469</v>
      </c>
      <c r="E45" s="18" t="n">
        <v>51.50087046</v>
      </c>
      <c r="F45" s="20" t="n">
        <v>2.62043991</v>
      </c>
      <c r="G45" s="18" t="n">
        <v>15.72195403</v>
      </c>
      <c r="H45" s="20" t="n">
        <v>1.91620593</v>
      </c>
      <c r="I45" s="18" t="s">
        <v>349</v>
      </c>
      <c r="J45" s="20" t="s">
        <v>349</v>
      </c>
      <c r="K45" s="18" t="n">
        <v>3.03433571</v>
      </c>
      <c r="L45" s="20" t="n">
        <v>0.9684828</v>
      </c>
      <c r="M45" s="18" t="n">
        <v>0</v>
      </c>
      <c r="N45" s="20" t="n">
        <v>0</v>
      </c>
      <c r="O45" s="18" t="n">
        <v>9.558986750000001</v>
      </c>
      <c r="P45" s="20" t="n">
        <v>1.41485522</v>
      </c>
      <c r="Q45" s="18" t="n">
        <v>20.18385305</v>
      </c>
      <c r="R45" s="20" t="n">
        <v>1.76084531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38.75683434</v>
      </c>
      <c r="F49" s="20" t="n">
        <v>2.43486963</v>
      </c>
      <c r="G49" s="18" t="n">
        <v>54.09881112</v>
      </c>
      <c r="H49" s="20" t="n">
        <v>2.39956697</v>
      </c>
      <c r="I49" s="18" t="s">
        <v>349</v>
      </c>
      <c r="J49" s="20" t="s">
        <v>349</v>
      </c>
      <c r="K49" s="18" t="n">
        <v>2.11047876</v>
      </c>
      <c r="L49" s="20" t="n">
        <v>0.73256166</v>
      </c>
      <c r="M49" s="18" t="n">
        <v>0</v>
      </c>
      <c r="N49" s="20" t="n">
        <v>0</v>
      </c>
      <c r="O49" s="18" t="n">
        <v>1.66124561</v>
      </c>
      <c r="P49" s="20" t="n">
        <v>0.67778108</v>
      </c>
      <c r="Q49" s="18" t="n">
        <v>3.37263016</v>
      </c>
      <c r="R49" s="20" t="n">
        <v>0.98100981</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44.20427124</v>
      </c>
      <c r="F55" s="20" t="n">
        <v>2.24774844</v>
      </c>
      <c r="G55" s="18" t="n">
        <v>42.65528759</v>
      </c>
      <c r="H55" s="20" t="n">
        <v>2.56755838</v>
      </c>
      <c r="I55" s="18" t="s">
        <v>349</v>
      </c>
      <c r="J55" s="20" t="s">
        <v>349</v>
      </c>
      <c r="K55" s="18" t="n">
        <v>0.93109535</v>
      </c>
      <c r="L55" s="20" t="n">
        <v>0.40797513</v>
      </c>
      <c r="M55" s="18" t="n">
        <v>0</v>
      </c>
      <c r="N55" s="20" t="n">
        <v>0</v>
      </c>
      <c r="O55" s="18" t="n">
        <v>1.10214897</v>
      </c>
      <c r="P55" s="20" t="n">
        <v>0.51447244</v>
      </c>
      <c r="Q55" s="18" t="n">
        <v>11.10719686</v>
      </c>
      <c r="R55" s="20" t="n">
        <v>1.6039159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65.34494411</v>
      </c>
      <c r="F57" s="20" t="n">
        <v>2.5785817</v>
      </c>
      <c r="G57" s="18" t="n">
        <v>31.131635</v>
      </c>
      <c r="H57" s="20" t="n">
        <v>2.6054878</v>
      </c>
      <c r="I57" s="18" t="s">
        <v>349</v>
      </c>
      <c r="J57" s="20" t="s">
        <v>349</v>
      </c>
      <c r="K57" s="18" t="n">
        <v>0.35413306</v>
      </c>
      <c r="L57" s="20" t="n">
        <v>0.24891558</v>
      </c>
      <c r="M57" s="18" t="n">
        <v>0.22516802</v>
      </c>
      <c r="N57" s="20" t="n">
        <v>0.22588452</v>
      </c>
      <c r="O57" s="18" t="n">
        <v>0.98922202</v>
      </c>
      <c r="P57" s="20" t="n">
        <v>0.42363865</v>
      </c>
      <c r="Q57" s="18" t="n">
        <v>1.95489779</v>
      </c>
      <c r="R57" s="20" t="n">
        <v>0.60724603</v>
      </c>
    </row>
    <row r="58" spans="1:18">
      <c r="A58" s="15" t="s">
        <v>400</v>
      </c>
      <c r="B58" s="17" t="n">
        <v>3530</v>
      </c>
      <c r="C58" s="18">
        <f>(2948.0/B58*100)</f>
        <v/>
      </c>
      <c r="D58" s="19" t="n">
        <v>582</v>
      </c>
      <c r="E58" s="18" t="n">
        <v>51.73993427</v>
      </c>
      <c r="F58" s="20" t="n">
        <v>2.7711292</v>
      </c>
      <c r="G58" s="18" t="n">
        <v>35.06257392</v>
      </c>
      <c r="H58" s="20" t="n">
        <v>2.30319101</v>
      </c>
      <c r="I58" s="18" t="s">
        <v>349</v>
      </c>
      <c r="J58" s="20" t="s">
        <v>349</v>
      </c>
      <c r="K58" s="18" t="n">
        <v>2.95872425</v>
      </c>
      <c r="L58" s="20" t="n">
        <v>1.06574311</v>
      </c>
      <c r="M58" s="18" t="n">
        <v>0</v>
      </c>
      <c r="N58" s="20" t="n">
        <v>0</v>
      </c>
      <c r="O58" s="18" t="n">
        <v>0.79168372</v>
      </c>
      <c r="P58" s="20" t="n">
        <v>0.42850428</v>
      </c>
      <c r="Q58" s="18" t="n">
        <v>9.44708382</v>
      </c>
      <c r="R58" s="20" t="n">
        <v>1.22374986</v>
      </c>
    </row>
    <row r="59" spans="1:18">
      <c r="A59" s="15" t="s">
        <v>401</v>
      </c>
      <c r="B59" s="17" t="n">
        <v>2548</v>
      </c>
      <c r="C59" s="18">
        <f>(2128.0/B59*100)</f>
        <v/>
      </c>
      <c r="D59" s="19" t="n">
        <v>420</v>
      </c>
      <c r="E59" s="18" t="n">
        <v>51.59032194</v>
      </c>
      <c r="F59" s="20" t="n">
        <v>2.83353863</v>
      </c>
      <c r="G59" s="18" t="n">
        <v>32.59064297</v>
      </c>
      <c r="H59" s="20" t="n">
        <v>2.40815644</v>
      </c>
      <c r="I59" s="18" t="s">
        <v>349</v>
      </c>
      <c r="J59" s="20" t="s">
        <v>349</v>
      </c>
      <c r="K59" s="18" t="n">
        <v>0.21734781</v>
      </c>
      <c r="L59" s="20" t="n">
        <v>0.15338304</v>
      </c>
      <c r="M59" s="18" t="n">
        <v>0</v>
      </c>
      <c r="N59" s="20" t="n">
        <v>0</v>
      </c>
      <c r="O59" s="18" t="n">
        <v>2.54046012</v>
      </c>
      <c r="P59" s="20" t="n">
        <v>0.92397057</v>
      </c>
      <c r="Q59" s="18" t="n">
        <v>13.06122716</v>
      </c>
      <c r="R59" s="20" t="n">
        <v>1.71451187</v>
      </c>
    </row>
    <row r="60" spans="1:18">
      <c r="A60" s="15" t="s">
        <v>402</v>
      </c>
      <c r="B60" s="17" t="n">
        <v>2095</v>
      </c>
      <c r="C60" s="18">
        <f>(1746.0/B60*100)</f>
        <v/>
      </c>
      <c r="D60" s="19" t="n">
        <v>349</v>
      </c>
      <c r="E60" s="18" t="n">
        <v>40.06102847</v>
      </c>
      <c r="F60" s="20" t="n">
        <v>2.82667542</v>
      </c>
      <c r="G60" s="18" t="n">
        <v>35.24056204</v>
      </c>
      <c r="H60" s="20" t="n">
        <v>2.97764313</v>
      </c>
      <c r="I60" s="18" t="s">
        <v>349</v>
      </c>
      <c r="J60" s="20" t="s">
        <v>349</v>
      </c>
      <c r="K60" s="18" t="n">
        <v>2.55764674</v>
      </c>
      <c r="L60" s="20" t="n">
        <v>1.02747375</v>
      </c>
      <c r="M60" s="18" t="n">
        <v>0</v>
      </c>
      <c r="N60" s="20" t="n">
        <v>0</v>
      </c>
      <c r="O60" s="18" t="n">
        <v>3.97628951</v>
      </c>
      <c r="P60" s="20" t="n">
        <v>1.36551518</v>
      </c>
      <c r="Q60" s="18" t="n">
        <v>18.16447324</v>
      </c>
      <c r="R60" s="20" t="n">
        <v>2.19035166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50.82645567</v>
      </c>
      <c r="F63" s="20" t="n">
        <v>2.48011791</v>
      </c>
      <c r="G63" s="18" t="n">
        <v>30.47166925</v>
      </c>
      <c r="H63" s="20" t="n">
        <v>2.30180962</v>
      </c>
      <c r="I63" s="18" t="s">
        <v>349</v>
      </c>
      <c r="J63" s="20" t="s">
        <v>349</v>
      </c>
      <c r="K63" s="18" t="n">
        <v>1.7093479</v>
      </c>
      <c r="L63" s="20" t="n">
        <v>0.58194583</v>
      </c>
      <c r="M63" s="18" t="n">
        <v>0</v>
      </c>
      <c r="N63" s="20" t="n">
        <v>0</v>
      </c>
      <c r="O63" s="18" t="n">
        <v>0.5906659</v>
      </c>
      <c r="P63" s="20" t="n">
        <v>0.3189272</v>
      </c>
      <c r="Q63" s="18" t="n">
        <v>16.40186127</v>
      </c>
      <c r="R63" s="20" t="n">
        <v>1.83782389</v>
      </c>
    </row>
    <row r="64" spans="1:18">
      <c r="A64" s="15" t="s">
        <v>406</v>
      </c>
      <c r="B64" s="17" t="n">
        <v>1844</v>
      </c>
      <c r="C64" s="18">
        <f>(1537.0/B64*100)</f>
        <v/>
      </c>
      <c r="D64" s="19" t="n">
        <v>307</v>
      </c>
      <c r="E64" s="18" t="n">
        <v>33.88834994</v>
      </c>
      <c r="F64" s="20" t="n">
        <v>2.67419776</v>
      </c>
      <c r="G64" s="18" t="n">
        <v>54.93492729</v>
      </c>
      <c r="H64" s="20" t="n">
        <v>2.95349682</v>
      </c>
      <c r="I64" s="18" t="s">
        <v>349</v>
      </c>
      <c r="J64" s="20" t="s">
        <v>349</v>
      </c>
      <c r="K64" s="18" t="n">
        <v>0.65518599</v>
      </c>
      <c r="L64" s="20" t="n">
        <v>0.45699065</v>
      </c>
      <c r="M64" s="18" t="n">
        <v>0</v>
      </c>
      <c r="N64" s="20" t="n">
        <v>0</v>
      </c>
      <c r="O64" s="18" t="n">
        <v>1.68546977</v>
      </c>
      <c r="P64" s="20" t="n">
        <v>0.72663928</v>
      </c>
      <c r="Q64" s="18" t="n">
        <v>8.836067010000001</v>
      </c>
      <c r="R64" s="20" t="n">
        <v>1.48813944</v>
      </c>
    </row>
    <row r="65" spans="1:18">
      <c r="A65" s="15" t="s">
        <v>407</v>
      </c>
      <c r="B65" s="17" t="n">
        <v>2691</v>
      </c>
      <c r="C65" s="18">
        <f>(2252.0/B65*100)</f>
        <v/>
      </c>
      <c r="D65" s="19" t="n">
        <v>439</v>
      </c>
      <c r="E65" s="18" t="n">
        <v>38.57321669</v>
      </c>
      <c r="F65" s="20" t="n">
        <v>2.80380549</v>
      </c>
      <c r="G65" s="18" t="n">
        <v>41.72647052</v>
      </c>
      <c r="H65" s="20" t="n">
        <v>2.98902434</v>
      </c>
      <c r="I65" s="18" t="s">
        <v>349</v>
      </c>
      <c r="J65" s="20" t="s">
        <v>349</v>
      </c>
      <c r="K65" s="18" t="n">
        <v>1.46364553</v>
      </c>
      <c r="L65" s="20" t="n">
        <v>0.50687838</v>
      </c>
      <c r="M65" s="18" t="n">
        <v>3.15458611</v>
      </c>
      <c r="N65" s="20" t="n">
        <v>0.90588653</v>
      </c>
      <c r="O65" s="18" t="n">
        <v>0</v>
      </c>
      <c r="P65" s="20" t="n">
        <v>0</v>
      </c>
      <c r="Q65" s="18" t="n">
        <v>15.08208115</v>
      </c>
      <c r="R65" s="20" t="n">
        <v>1.94304687</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51.0515256</v>
      </c>
      <c r="F69" s="20" t="n">
        <v>2.50891839</v>
      </c>
      <c r="G69" s="18" t="n">
        <v>48.24992329</v>
      </c>
      <c r="H69" s="20" t="n">
        <v>2.56078893</v>
      </c>
      <c r="I69" s="18" t="s">
        <v>349</v>
      </c>
      <c r="J69" s="20" t="s">
        <v>349</v>
      </c>
      <c r="K69" s="18" t="n">
        <v>0</v>
      </c>
      <c r="L69" s="20" t="n">
        <v>0</v>
      </c>
      <c r="M69" s="18" t="n">
        <v>0</v>
      </c>
      <c r="N69" s="20" t="n">
        <v>0</v>
      </c>
      <c r="O69" s="18" t="n">
        <v>0</v>
      </c>
      <c r="P69" s="20" t="n">
        <v>0</v>
      </c>
      <c r="Q69" s="18" t="n">
        <v>0.69855112</v>
      </c>
      <c r="R69" s="20" t="n">
        <v>0.51865156</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46.58941391</v>
      </c>
      <c r="F74" s="20" t="n">
        <v>2.85223532</v>
      </c>
      <c r="G74" s="18" t="n">
        <v>40.86809876</v>
      </c>
      <c r="H74" s="20" t="n">
        <v>2.53255308</v>
      </c>
      <c r="I74" s="18" t="s">
        <v>349</v>
      </c>
      <c r="J74" s="20" t="s">
        <v>349</v>
      </c>
      <c r="K74" s="18" t="n">
        <v>3.06969192</v>
      </c>
      <c r="L74" s="20" t="n">
        <v>1.09734614</v>
      </c>
      <c r="M74" s="18" t="n">
        <v>0</v>
      </c>
      <c r="N74" s="20" t="n">
        <v>0</v>
      </c>
      <c r="O74" s="18" t="n">
        <v>0.39763968</v>
      </c>
      <c r="P74" s="20" t="n">
        <v>0.40333911</v>
      </c>
      <c r="Q74" s="18" t="n">
        <v>9.075155730000001</v>
      </c>
      <c r="R74" s="20" t="n">
        <v>1.5498807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25.56628178</v>
      </c>
      <c r="F78" s="20" t="n">
        <v>2.07021002</v>
      </c>
      <c r="G78" s="18" t="n">
        <v>74.43371822</v>
      </c>
      <c r="H78" s="20" t="n">
        <v>2.07021002</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(656.0/B79*100)</f>
        <v/>
      </c>
      <c r="D79" s="19" t="n">
        <v>131</v>
      </c>
      <c r="E79" s="18" t="n">
        <v>30.69670375</v>
      </c>
      <c r="F79" s="20" t="n">
        <v>4.36269506</v>
      </c>
      <c r="G79" s="18" t="n">
        <v>60.72612992</v>
      </c>
      <c r="H79" s="20" t="n">
        <v>3.4627161</v>
      </c>
      <c r="I79" s="18" t="s">
        <v>349</v>
      </c>
      <c r="J79" s="20" t="s">
        <v>349</v>
      </c>
      <c r="K79" s="18" t="n">
        <v>2.35023172</v>
      </c>
      <c r="L79" s="20" t="n">
        <v>2.17312982</v>
      </c>
      <c r="M79" s="18" t="n">
        <v>0</v>
      </c>
      <c r="N79" s="20" t="n">
        <v>0</v>
      </c>
      <c r="O79" s="18" t="n">
        <v>2.40893361</v>
      </c>
      <c r="P79" s="20" t="n">
        <v>1.71153004</v>
      </c>
      <c r="Q79" s="18" t="n">
        <v>3.81800101</v>
      </c>
      <c r="R79" s="20" t="n">
        <v>1.56127576</v>
      </c>
    </row>
    <row r="80" spans="1:18">
      <c r="A80" s="15" t="s">
        <v>422</v>
      </c>
      <c r="B80" s="17" t="n">
        <v>3798</v>
      </c>
      <c r="C80" s="18">
        <f>(3177.0/B80*100)</f>
        <v/>
      </c>
      <c r="D80" s="19" t="n">
        <v>621</v>
      </c>
      <c r="E80" s="18" t="n">
        <v>45.65795617</v>
      </c>
      <c r="F80" s="20" t="n">
        <v>2.73632342</v>
      </c>
      <c r="G80" s="18" t="n">
        <v>54.14015365</v>
      </c>
      <c r="H80" s="20" t="n">
        <v>2.72265177</v>
      </c>
      <c r="I80" s="18" t="s">
        <v>349</v>
      </c>
      <c r="J80" s="20" t="s">
        <v>349</v>
      </c>
      <c r="K80" s="18" t="n">
        <v>0</v>
      </c>
      <c r="L80" s="20" t="n">
        <v>0</v>
      </c>
      <c r="M80" s="18" t="n">
        <v>0</v>
      </c>
      <c r="N80" s="20" t="n">
        <v>0</v>
      </c>
      <c r="O80" s="18" t="n">
        <v>0</v>
      </c>
      <c r="P80" s="20" t="n">
        <v>0</v>
      </c>
      <c r="Q80" s="18" t="n">
        <v>0.20189019</v>
      </c>
      <c r="R80" s="20" t="n">
        <v>0.20244538</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46.49664726</v>
      </c>
      <c r="F44" s="20" t="n">
        <v>2.61741957</v>
      </c>
      <c r="G44" s="18" t="n">
        <v>35.93830591</v>
      </c>
      <c r="H44" s="20" t="n">
        <v>2.61634105</v>
      </c>
      <c r="I44" s="18" t="s">
        <v>349</v>
      </c>
      <c r="J44" s="20" t="s">
        <v>349</v>
      </c>
      <c r="K44" s="18" t="n">
        <v>3.07363793</v>
      </c>
      <c r="L44" s="20" t="n">
        <v>0.8125272100000001</v>
      </c>
      <c r="M44" s="18" t="n">
        <v>0</v>
      </c>
      <c r="N44" s="20" t="n">
        <v>0</v>
      </c>
      <c r="O44" s="18" t="n">
        <v>0.52933694</v>
      </c>
      <c r="P44" s="20" t="n">
        <v>0.55738842</v>
      </c>
      <c r="Q44" s="18" t="n">
        <v>13.96207196</v>
      </c>
      <c r="R44" s="20" t="n">
        <v>2.18549593</v>
      </c>
    </row>
    <row r="45" spans="1:18">
      <c r="A45" s="15" t="s">
        <v>387</v>
      </c>
      <c r="B45" s="17" t="n">
        <v>2849</v>
      </c>
      <c r="C45" s="18">
        <f>(2380.0/B45*100)</f>
        <v/>
      </c>
      <c r="D45" s="19" t="n">
        <v>469</v>
      </c>
      <c r="E45" s="18" t="n">
        <v>55.14692473</v>
      </c>
      <c r="F45" s="20" t="n">
        <v>2.95616154</v>
      </c>
      <c r="G45" s="18" t="n">
        <v>22.08345026</v>
      </c>
      <c r="H45" s="20" t="n">
        <v>2.60718002</v>
      </c>
      <c r="I45" s="18" t="s">
        <v>349</v>
      </c>
      <c r="J45" s="20" t="s">
        <v>349</v>
      </c>
      <c r="K45" s="18" t="n">
        <v>4.1572315</v>
      </c>
      <c r="L45" s="20" t="n">
        <v>1.12735372</v>
      </c>
      <c r="M45" s="18" t="n">
        <v>0</v>
      </c>
      <c r="N45" s="20" t="n">
        <v>0</v>
      </c>
      <c r="O45" s="18" t="n">
        <v>0.47002316</v>
      </c>
      <c r="P45" s="20" t="n">
        <v>0.28791796</v>
      </c>
      <c r="Q45" s="18" t="n">
        <v>18.14237035</v>
      </c>
      <c r="R45" s="20" t="n">
        <v>2.60163358</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50.7927643</v>
      </c>
      <c r="F49" s="20" t="n">
        <v>2.58972315</v>
      </c>
      <c r="G49" s="18" t="n">
        <v>40.52030084</v>
      </c>
      <c r="H49" s="20" t="n">
        <v>2.56880092</v>
      </c>
      <c r="I49" s="18" t="s">
        <v>349</v>
      </c>
      <c r="J49" s="20" t="s">
        <v>349</v>
      </c>
      <c r="K49" s="18" t="n">
        <v>2.11047876</v>
      </c>
      <c r="L49" s="20" t="n">
        <v>0.73256166</v>
      </c>
      <c r="M49" s="18" t="n">
        <v>0</v>
      </c>
      <c r="N49" s="20" t="n">
        <v>0</v>
      </c>
      <c r="O49" s="18" t="n">
        <v>0.03595389</v>
      </c>
      <c r="P49" s="20" t="n">
        <v>0.03499879</v>
      </c>
      <c r="Q49" s="18" t="n">
        <v>6.54050221</v>
      </c>
      <c r="R49" s="20" t="n">
        <v>1.37239748</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47.54219404</v>
      </c>
      <c r="F55" s="20" t="n">
        <v>2.47413904</v>
      </c>
      <c r="G55" s="18" t="n">
        <v>41.54451775</v>
      </c>
      <c r="H55" s="20" t="n">
        <v>2.53020275</v>
      </c>
      <c r="I55" s="18" t="s">
        <v>349</v>
      </c>
      <c r="J55" s="20" t="s">
        <v>349</v>
      </c>
      <c r="K55" s="18" t="n">
        <v>1.33543081</v>
      </c>
      <c r="L55" s="20" t="n">
        <v>0.49390337</v>
      </c>
      <c r="M55" s="18" t="n">
        <v>0</v>
      </c>
      <c r="N55" s="20" t="n">
        <v>0</v>
      </c>
      <c r="O55" s="18" t="n">
        <v>0.17791234</v>
      </c>
      <c r="P55" s="20" t="n">
        <v>0.16577749</v>
      </c>
      <c r="Q55" s="18" t="n">
        <v>9.39994506</v>
      </c>
      <c r="R55" s="20" t="n">
        <v>1.30708564</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47.43688476</v>
      </c>
      <c r="F57" s="20" t="n">
        <v>2.55879289</v>
      </c>
      <c r="G57" s="18" t="n">
        <v>45.06206967</v>
      </c>
      <c r="H57" s="20" t="n">
        <v>2.77348602</v>
      </c>
      <c r="I57" s="18" t="s">
        <v>349</v>
      </c>
      <c r="J57" s="20" t="s">
        <v>349</v>
      </c>
      <c r="K57" s="18" t="n">
        <v>0.6705997</v>
      </c>
      <c r="L57" s="20" t="n">
        <v>0.34945894</v>
      </c>
      <c r="M57" s="18" t="n">
        <v>0.3698606</v>
      </c>
      <c r="N57" s="20" t="n">
        <v>0.26877077</v>
      </c>
      <c r="O57" s="18" t="n">
        <v>0.82172394</v>
      </c>
      <c r="P57" s="20" t="n">
        <v>0.46308092</v>
      </c>
      <c r="Q57" s="18" t="n">
        <v>5.63886134</v>
      </c>
      <c r="R57" s="20" t="n">
        <v>1.11047458</v>
      </c>
    </row>
    <row r="58" spans="1:18">
      <c r="A58" s="15" t="s">
        <v>400</v>
      </c>
      <c r="B58" s="17" t="n">
        <v>3530</v>
      </c>
      <c r="C58" s="18">
        <f>(2948.0/B58*100)</f>
        <v/>
      </c>
      <c r="D58" s="19" t="n">
        <v>582</v>
      </c>
      <c r="E58" s="18" t="n">
        <v>52.21688535</v>
      </c>
      <c r="F58" s="20" t="n">
        <v>2.02779073</v>
      </c>
      <c r="G58" s="18" t="n">
        <v>32.57315053</v>
      </c>
      <c r="H58" s="20" t="n">
        <v>1.94365428</v>
      </c>
      <c r="I58" s="18" t="s">
        <v>349</v>
      </c>
      <c r="J58" s="20" t="s">
        <v>349</v>
      </c>
      <c r="K58" s="18" t="n">
        <v>3.25169207</v>
      </c>
      <c r="L58" s="20" t="n">
        <v>1.08666014</v>
      </c>
      <c r="M58" s="18" t="n">
        <v>0</v>
      </c>
      <c r="N58" s="20" t="n">
        <v>0</v>
      </c>
      <c r="O58" s="18" t="n">
        <v>3.1217946</v>
      </c>
      <c r="P58" s="20" t="n">
        <v>0.7607903499999999</v>
      </c>
      <c r="Q58" s="18" t="n">
        <v>8.83647745</v>
      </c>
      <c r="R58" s="20" t="n">
        <v>1.25366633</v>
      </c>
    </row>
    <row r="59" spans="1:18">
      <c r="A59" s="15" t="s">
        <v>401</v>
      </c>
      <c r="B59" s="17" t="n">
        <v>2548</v>
      </c>
      <c r="C59" s="18">
        <f>(2128.0/B59*100)</f>
        <v/>
      </c>
      <c r="D59" s="19" t="n">
        <v>420</v>
      </c>
      <c r="E59" s="18" t="n">
        <v>60.69785604</v>
      </c>
      <c r="F59" s="20" t="n">
        <v>3.01226538</v>
      </c>
      <c r="G59" s="18" t="n">
        <v>26.24354349</v>
      </c>
      <c r="H59" s="20" t="n">
        <v>2.56163459</v>
      </c>
      <c r="I59" s="18" t="s">
        <v>349</v>
      </c>
      <c r="J59" s="20" t="s">
        <v>349</v>
      </c>
      <c r="K59" s="18" t="n">
        <v>0.21734781</v>
      </c>
      <c r="L59" s="20" t="n">
        <v>0.15338304</v>
      </c>
      <c r="M59" s="18" t="n">
        <v>0</v>
      </c>
      <c r="N59" s="20" t="n">
        <v>0</v>
      </c>
      <c r="O59" s="18" t="n">
        <v>3.16773095</v>
      </c>
      <c r="P59" s="20" t="n">
        <v>1.10840482</v>
      </c>
      <c r="Q59" s="18" t="n">
        <v>9.6735217</v>
      </c>
      <c r="R59" s="20" t="n">
        <v>2.09304662</v>
      </c>
    </row>
    <row r="60" spans="1:18">
      <c r="A60" s="15" t="s">
        <v>402</v>
      </c>
      <c r="B60" s="17" t="n">
        <v>2095</v>
      </c>
      <c r="C60" s="18">
        <f>(1746.0/B60*100)</f>
        <v/>
      </c>
      <c r="D60" s="19" t="n">
        <v>349</v>
      </c>
      <c r="E60" s="18" t="n">
        <v>44.20578577</v>
      </c>
      <c r="F60" s="20" t="n">
        <v>2.56627446</v>
      </c>
      <c r="G60" s="18" t="n">
        <v>38.09546927</v>
      </c>
      <c r="H60" s="20" t="n">
        <v>2.62479764</v>
      </c>
      <c r="I60" s="18" t="s">
        <v>349</v>
      </c>
      <c r="J60" s="20" t="s">
        <v>349</v>
      </c>
      <c r="K60" s="18" t="n">
        <v>2.86631816</v>
      </c>
      <c r="L60" s="20" t="n">
        <v>1.06366992</v>
      </c>
      <c r="M60" s="18" t="n">
        <v>0</v>
      </c>
      <c r="N60" s="20" t="n">
        <v>0</v>
      </c>
      <c r="O60" s="18" t="n">
        <v>0.4524718</v>
      </c>
      <c r="P60" s="20" t="n">
        <v>0.32844349</v>
      </c>
      <c r="Q60" s="18" t="n">
        <v>14.37995501</v>
      </c>
      <c r="R60" s="20" t="n">
        <v>1.92118183</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56.4034921</v>
      </c>
      <c r="F63" s="20" t="n">
        <v>2.80944997</v>
      </c>
      <c r="G63" s="18" t="n">
        <v>26.38840935</v>
      </c>
      <c r="H63" s="20" t="n">
        <v>2.27259395</v>
      </c>
      <c r="I63" s="18" t="s">
        <v>349</v>
      </c>
      <c r="J63" s="20" t="s">
        <v>349</v>
      </c>
      <c r="K63" s="18" t="n">
        <v>1.7093479</v>
      </c>
      <c r="L63" s="20" t="n">
        <v>0.58194583</v>
      </c>
      <c r="M63" s="18" t="n">
        <v>0</v>
      </c>
      <c r="N63" s="20" t="n">
        <v>0</v>
      </c>
      <c r="O63" s="18" t="n">
        <v>0.61643192</v>
      </c>
      <c r="P63" s="20" t="n">
        <v>0.38116754</v>
      </c>
      <c r="Q63" s="18" t="n">
        <v>14.88231873</v>
      </c>
      <c r="R63" s="20" t="n">
        <v>1.73860984</v>
      </c>
    </row>
    <row r="64" spans="1:18">
      <c r="A64" s="15" t="s">
        <v>406</v>
      </c>
      <c r="B64" s="17" t="n">
        <v>1844</v>
      </c>
      <c r="C64" s="18">
        <f>(1537.0/B64*100)</f>
        <v/>
      </c>
      <c r="D64" s="19" t="n">
        <v>307</v>
      </c>
      <c r="E64" s="18" t="n">
        <v>50.34761522</v>
      </c>
      <c r="F64" s="20" t="n">
        <v>2.84209724</v>
      </c>
      <c r="G64" s="18" t="n">
        <v>43.50369698</v>
      </c>
      <c r="H64" s="20" t="n">
        <v>2.83155304</v>
      </c>
      <c r="I64" s="18" t="s">
        <v>349</v>
      </c>
      <c r="J64" s="20" t="s">
        <v>349</v>
      </c>
      <c r="K64" s="18" t="n">
        <v>0.65518599</v>
      </c>
      <c r="L64" s="20" t="n">
        <v>0.45699065</v>
      </c>
      <c r="M64" s="18" t="n">
        <v>0</v>
      </c>
      <c r="N64" s="20" t="n">
        <v>0</v>
      </c>
      <c r="O64" s="18" t="n">
        <v>1.47198928</v>
      </c>
      <c r="P64" s="20" t="n">
        <v>0.76130708</v>
      </c>
      <c r="Q64" s="18" t="n">
        <v>4.02151253</v>
      </c>
      <c r="R64" s="20" t="n">
        <v>1.16501378</v>
      </c>
    </row>
    <row r="65" spans="1:18">
      <c r="A65" s="15" t="s">
        <v>407</v>
      </c>
      <c r="B65" s="17" t="n">
        <v>2691</v>
      </c>
      <c r="C65" s="18">
        <f>(2252.0/B65*100)</f>
        <v/>
      </c>
      <c r="D65" s="19" t="n">
        <v>439</v>
      </c>
      <c r="E65" s="18" t="n">
        <v>39.03790904</v>
      </c>
      <c r="F65" s="20" t="n">
        <v>2.69915428</v>
      </c>
      <c r="G65" s="18" t="n">
        <v>46.29517068</v>
      </c>
      <c r="H65" s="20" t="n">
        <v>2.88489282</v>
      </c>
      <c r="I65" s="18" t="s">
        <v>349</v>
      </c>
      <c r="J65" s="20" t="s">
        <v>349</v>
      </c>
      <c r="K65" s="18" t="n">
        <v>2.06508202</v>
      </c>
      <c r="L65" s="20" t="n">
        <v>0.67853467</v>
      </c>
      <c r="M65" s="18" t="n">
        <v>0.42648779</v>
      </c>
      <c r="N65" s="20" t="n">
        <v>0.31903418</v>
      </c>
      <c r="O65" s="18" t="n">
        <v>0.80377739</v>
      </c>
      <c r="P65" s="20" t="n">
        <v>0.40552892</v>
      </c>
      <c r="Q65" s="18" t="n">
        <v>11.37157309</v>
      </c>
      <c r="R65" s="20" t="n">
        <v>1.79175362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51.53925247</v>
      </c>
      <c r="F69" s="20" t="n">
        <v>2.48378467</v>
      </c>
      <c r="G69" s="18" t="n">
        <v>48.03787083</v>
      </c>
      <c r="H69" s="20" t="n">
        <v>2.49130042</v>
      </c>
      <c r="I69" s="18" t="s">
        <v>349</v>
      </c>
      <c r="J69" s="20" t="s">
        <v>349</v>
      </c>
      <c r="K69" s="18" t="n">
        <v>0</v>
      </c>
      <c r="L69" s="20" t="n">
        <v>0</v>
      </c>
      <c r="M69" s="18" t="n">
        <v>0</v>
      </c>
      <c r="N69" s="20" t="n">
        <v>0</v>
      </c>
      <c r="O69" s="18" t="n">
        <v>0</v>
      </c>
      <c r="P69" s="20" t="n">
        <v>0</v>
      </c>
      <c r="Q69" s="18" t="n">
        <v>0.4228767</v>
      </c>
      <c r="R69" s="20" t="n">
        <v>0.29543114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47.38487699</v>
      </c>
      <c r="F74" s="20" t="n">
        <v>2.59851289</v>
      </c>
      <c r="G74" s="18" t="n">
        <v>37.45491674</v>
      </c>
      <c r="H74" s="20" t="n">
        <v>2.70958113</v>
      </c>
      <c r="I74" s="18" t="s">
        <v>349</v>
      </c>
      <c r="J74" s="20" t="s">
        <v>349</v>
      </c>
      <c r="K74" s="18" t="n">
        <v>3.06969192</v>
      </c>
      <c r="L74" s="20" t="n">
        <v>1.09734614</v>
      </c>
      <c r="M74" s="18" t="n">
        <v>0</v>
      </c>
      <c r="N74" s="20" t="n">
        <v>0</v>
      </c>
      <c r="O74" s="18" t="n">
        <v>0.8571998</v>
      </c>
      <c r="P74" s="20" t="n">
        <v>0.53769002</v>
      </c>
      <c r="Q74" s="18" t="n">
        <v>11.23331455</v>
      </c>
      <c r="R74" s="20" t="n">
        <v>2.04173896</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44.75042203</v>
      </c>
      <c r="F78" s="20" t="n">
        <v>2.59669771</v>
      </c>
      <c r="G78" s="18" t="n">
        <v>54.26565794</v>
      </c>
      <c r="H78" s="20" t="n">
        <v>2.55946021</v>
      </c>
      <c r="I78" s="18" t="s">
        <v>349</v>
      </c>
      <c r="J78" s="20" t="s">
        <v>349</v>
      </c>
      <c r="K78" s="18" t="n">
        <v>0</v>
      </c>
      <c r="L78" s="20" t="n">
        <v>0</v>
      </c>
      <c r="M78" s="18" t="n">
        <v>0.22555828</v>
      </c>
      <c r="N78" s="20" t="n">
        <v>0.22554231</v>
      </c>
      <c r="O78" s="18" t="n">
        <v>0.15395536</v>
      </c>
      <c r="P78" s="20" t="n">
        <v>0.15447068</v>
      </c>
      <c r="Q78" s="18" t="n">
        <v>0.6044064</v>
      </c>
      <c r="R78" s="20" t="n">
        <v>0.35428673</v>
      </c>
    </row>
    <row customHeight="1" ht="25" r="79" spans="1:18">
      <c r="A79" s="15" t="s">
        <v>421</v>
      </c>
      <c r="B79" s="17" t="n">
        <v>787</v>
      </c>
      <c r="C79" s="18">
        <f>(656.0/B79*100)</f>
        <v/>
      </c>
      <c r="D79" s="19" t="n">
        <v>131</v>
      </c>
      <c r="E79" s="18" t="n">
        <v>34.53116132</v>
      </c>
      <c r="F79" s="20" t="n">
        <v>5.21067776</v>
      </c>
      <c r="G79" s="18" t="n">
        <v>53.37982652</v>
      </c>
      <c r="H79" s="20" t="n">
        <v>4.44055193</v>
      </c>
      <c r="I79" s="18" t="s">
        <v>349</v>
      </c>
      <c r="J79" s="20" t="s">
        <v>349</v>
      </c>
      <c r="K79" s="18" t="n">
        <v>2.35023172</v>
      </c>
      <c r="L79" s="20" t="n">
        <v>2.17312982</v>
      </c>
      <c r="M79" s="18" t="n">
        <v>0</v>
      </c>
      <c r="N79" s="20" t="n">
        <v>0</v>
      </c>
      <c r="O79" s="18" t="n">
        <v>0.44521164</v>
      </c>
      <c r="P79" s="20" t="n">
        <v>0.42938169</v>
      </c>
      <c r="Q79" s="18" t="n">
        <v>9.29356881</v>
      </c>
      <c r="R79" s="20" t="n">
        <v>2.28841039</v>
      </c>
    </row>
    <row r="80" spans="1:18">
      <c r="A80" s="15" t="s">
        <v>422</v>
      </c>
      <c r="B80" s="17" t="n">
        <v>3798</v>
      </c>
      <c r="C80" s="18">
        <f>(3177.0/B80*100)</f>
        <v/>
      </c>
      <c r="D80" s="19" t="n">
        <v>621</v>
      </c>
      <c r="E80" s="18" t="n">
        <v>52.86781155</v>
      </c>
      <c r="F80" s="20" t="n">
        <v>2.15297778</v>
      </c>
      <c r="G80" s="18" t="n">
        <v>46.02812506</v>
      </c>
      <c r="H80" s="20" t="n">
        <v>2.03518453</v>
      </c>
      <c r="I80" s="18" t="s">
        <v>349</v>
      </c>
      <c r="J80" s="20" t="s">
        <v>349</v>
      </c>
      <c r="K80" s="18" t="n">
        <v>0</v>
      </c>
      <c r="L80" s="20" t="n">
        <v>0</v>
      </c>
      <c r="M80" s="18" t="n">
        <v>0</v>
      </c>
      <c r="N80" s="20" t="n">
        <v>0</v>
      </c>
      <c r="O80" s="18" t="n">
        <v>0</v>
      </c>
      <c r="P80" s="20" t="n">
        <v>0</v>
      </c>
      <c r="Q80" s="18" t="n">
        <v>1.10406339</v>
      </c>
      <c r="R80" s="20" t="n">
        <v>0.5526372000000001</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73.11090435</v>
      </c>
      <c r="F44" s="20" t="n">
        <v>2.37254466</v>
      </c>
      <c r="G44" s="18" t="n">
        <v>17.41934423</v>
      </c>
      <c r="H44" s="20" t="n">
        <v>2.02811761</v>
      </c>
      <c r="I44" s="18" t="s">
        <v>349</v>
      </c>
      <c r="J44" s="20" t="s">
        <v>349</v>
      </c>
      <c r="K44" s="18" t="n">
        <v>3.2669401</v>
      </c>
      <c r="L44" s="20" t="n">
        <v>0.83537673</v>
      </c>
      <c r="M44" s="18" t="n">
        <v>0</v>
      </c>
      <c r="N44" s="20" t="n">
        <v>0</v>
      </c>
      <c r="O44" s="18" t="n">
        <v>0</v>
      </c>
      <c r="P44" s="20" t="n">
        <v>0</v>
      </c>
      <c r="Q44" s="18" t="n">
        <v>6.20281132</v>
      </c>
      <c r="R44" s="20" t="n">
        <v>1.44654182</v>
      </c>
    </row>
    <row r="45" spans="1:18">
      <c r="A45" s="15" t="s">
        <v>387</v>
      </c>
      <c r="B45" s="17" t="n">
        <v>2849</v>
      </c>
      <c r="C45" s="18">
        <f>(2380.0/B45*100)</f>
        <v/>
      </c>
      <c r="D45" s="19" t="n">
        <v>469</v>
      </c>
      <c r="E45" s="18" t="n">
        <v>87.89838032999999</v>
      </c>
      <c r="F45" s="20" t="n">
        <v>1.65938292</v>
      </c>
      <c r="G45" s="18" t="n">
        <v>2.34094744</v>
      </c>
      <c r="H45" s="20" t="n">
        <v>0.80226264</v>
      </c>
      <c r="I45" s="18" t="s">
        <v>349</v>
      </c>
      <c r="J45" s="20" t="s">
        <v>349</v>
      </c>
      <c r="K45" s="18" t="n">
        <v>4.37714394</v>
      </c>
      <c r="L45" s="20" t="n">
        <v>1.14958905</v>
      </c>
      <c r="M45" s="18" t="n">
        <v>0</v>
      </c>
      <c r="N45" s="20" t="n">
        <v>0</v>
      </c>
      <c r="O45" s="18" t="n">
        <v>0</v>
      </c>
      <c r="P45" s="20" t="n">
        <v>0</v>
      </c>
      <c r="Q45" s="18" t="n">
        <v>5.38352829</v>
      </c>
      <c r="R45" s="20" t="n">
        <v>1.33282474</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69.06887087</v>
      </c>
      <c r="F49" s="20" t="n">
        <v>2.47083779</v>
      </c>
      <c r="G49" s="18" t="n">
        <v>27.62483858</v>
      </c>
      <c r="H49" s="20" t="n">
        <v>2.39435096</v>
      </c>
      <c r="I49" s="18" t="s">
        <v>349</v>
      </c>
      <c r="J49" s="20" t="s">
        <v>349</v>
      </c>
      <c r="K49" s="18" t="n">
        <v>2.26637714</v>
      </c>
      <c r="L49" s="20" t="n">
        <v>0.74896933</v>
      </c>
      <c r="M49" s="18" t="n">
        <v>0</v>
      </c>
      <c r="N49" s="20" t="n">
        <v>0</v>
      </c>
      <c r="O49" s="18" t="n">
        <v>0</v>
      </c>
      <c r="P49" s="20" t="n">
        <v>0</v>
      </c>
      <c r="Q49" s="18" t="n">
        <v>1.03991342</v>
      </c>
      <c r="R49" s="20" t="n">
        <v>0.49920463</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77.48132785</v>
      </c>
      <c r="F55" s="20" t="n">
        <v>2.03276488</v>
      </c>
      <c r="G55" s="18" t="n">
        <v>17.38656007</v>
      </c>
      <c r="H55" s="20" t="n">
        <v>2.01120341</v>
      </c>
      <c r="I55" s="18" t="s">
        <v>349</v>
      </c>
      <c r="J55" s="20" t="s">
        <v>349</v>
      </c>
      <c r="K55" s="18" t="n">
        <v>1.51937804</v>
      </c>
      <c r="L55" s="20" t="n">
        <v>0.52706581</v>
      </c>
      <c r="M55" s="18" t="n">
        <v>0</v>
      </c>
      <c r="N55" s="20" t="n">
        <v>0</v>
      </c>
      <c r="O55" s="18" t="n">
        <v>0</v>
      </c>
      <c r="P55" s="20" t="n">
        <v>0</v>
      </c>
      <c r="Q55" s="18" t="n">
        <v>3.61273404</v>
      </c>
      <c r="R55" s="20" t="n">
        <v>0.98406781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91.10309157</v>
      </c>
      <c r="F57" s="20" t="n">
        <v>1.36652952</v>
      </c>
      <c r="G57" s="18" t="n">
        <v>5.74305835</v>
      </c>
      <c r="H57" s="20" t="n">
        <v>1.01225416</v>
      </c>
      <c r="I57" s="18" t="s">
        <v>349</v>
      </c>
      <c r="J57" s="20" t="s">
        <v>349</v>
      </c>
      <c r="K57" s="18" t="n">
        <v>0.6705997</v>
      </c>
      <c r="L57" s="20" t="n">
        <v>0.34945894</v>
      </c>
      <c r="M57" s="18" t="n">
        <v>0</v>
      </c>
      <c r="N57" s="20" t="n">
        <v>0</v>
      </c>
      <c r="O57" s="18" t="n">
        <v>0</v>
      </c>
      <c r="P57" s="20" t="n">
        <v>0</v>
      </c>
      <c r="Q57" s="18" t="n">
        <v>2.48325038</v>
      </c>
      <c r="R57" s="20" t="n">
        <v>0.8008245899999999</v>
      </c>
    </row>
    <row r="58" spans="1:18">
      <c r="A58" s="15" t="s">
        <v>400</v>
      </c>
      <c r="B58" s="17" t="n">
        <v>3530</v>
      </c>
      <c r="C58" s="18">
        <f>(2948.0/B58*100)</f>
        <v/>
      </c>
      <c r="D58" s="19" t="n">
        <v>582</v>
      </c>
      <c r="E58" s="18" t="n">
        <v>80.65323576</v>
      </c>
      <c r="F58" s="20" t="n">
        <v>2.1658666</v>
      </c>
      <c r="G58" s="18" t="n">
        <v>12.89709895</v>
      </c>
      <c r="H58" s="20" t="n">
        <v>1.59074693</v>
      </c>
      <c r="I58" s="18" t="s">
        <v>349</v>
      </c>
      <c r="J58" s="20" t="s">
        <v>349</v>
      </c>
      <c r="K58" s="18" t="n">
        <v>3.47126573</v>
      </c>
      <c r="L58" s="20" t="n">
        <v>1.11219613</v>
      </c>
      <c r="M58" s="18" t="n">
        <v>0</v>
      </c>
      <c r="N58" s="20" t="n">
        <v>0</v>
      </c>
      <c r="O58" s="18" t="n">
        <v>0</v>
      </c>
      <c r="P58" s="20" t="n">
        <v>0</v>
      </c>
      <c r="Q58" s="18" t="n">
        <v>2.97839956</v>
      </c>
      <c r="R58" s="20" t="n">
        <v>0.89549215</v>
      </c>
    </row>
    <row r="59" spans="1:18">
      <c r="A59" s="15" t="s">
        <v>401</v>
      </c>
      <c r="B59" s="17" t="n">
        <v>2548</v>
      </c>
      <c r="C59" s="18">
        <f>(2128.0/B59*100)</f>
        <v/>
      </c>
      <c r="D59" s="19" t="n">
        <v>420</v>
      </c>
      <c r="E59" s="18" t="n">
        <v>84.67379099</v>
      </c>
      <c r="F59" s="20" t="n">
        <v>1.87411259</v>
      </c>
      <c r="G59" s="18" t="n">
        <v>10.87732144</v>
      </c>
      <c r="H59" s="20" t="n">
        <v>1.64682136</v>
      </c>
      <c r="I59" s="18" t="s">
        <v>349</v>
      </c>
      <c r="J59" s="20" t="s">
        <v>349</v>
      </c>
      <c r="K59" s="18" t="n">
        <v>0.21734781</v>
      </c>
      <c r="L59" s="20" t="n">
        <v>0.15338304</v>
      </c>
      <c r="M59" s="18" t="n">
        <v>0</v>
      </c>
      <c r="N59" s="20" t="n">
        <v>0</v>
      </c>
      <c r="O59" s="18" t="n">
        <v>0</v>
      </c>
      <c r="P59" s="20" t="n">
        <v>0</v>
      </c>
      <c r="Q59" s="18" t="n">
        <v>4.23153976</v>
      </c>
      <c r="R59" s="20" t="n">
        <v>1.19862679</v>
      </c>
    </row>
    <row r="60" spans="1:18">
      <c r="A60" s="15" t="s">
        <v>402</v>
      </c>
      <c r="B60" s="17" t="n">
        <v>2095</v>
      </c>
      <c r="C60" s="18">
        <f>(1746.0/B60*100)</f>
        <v/>
      </c>
      <c r="D60" s="19" t="n">
        <v>349</v>
      </c>
      <c r="E60" s="18" t="n">
        <v>79.03632899999999</v>
      </c>
      <c r="F60" s="20" t="n">
        <v>2.51596443</v>
      </c>
      <c r="G60" s="18" t="n">
        <v>13.98929179</v>
      </c>
      <c r="H60" s="20" t="n">
        <v>2.12753312</v>
      </c>
      <c r="I60" s="18" t="s">
        <v>349</v>
      </c>
      <c r="J60" s="20" t="s">
        <v>349</v>
      </c>
      <c r="K60" s="18" t="n">
        <v>3.46389598</v>
      </c>
      <c r="L60" s="20" t="n">
        <v>1.13676244</v>
      </c>
      <c r="M60" s="18" t="n">
        <v>0</v>
      </c>
      <c r="N60" s="20" t="n">
        <v>0</v>
      </c>
      <c r="O60" s="18" t="n">
        <v>0.24514655</v>
      </c>
      <c r="P60" s="20" t="n">
        <v>0.24098619</v>
      </c>
      <c r="Q60" s="18" t="n">
        <v>3.26533667</v>
      </c>
      <c r="R60" s="20" t="n">
        <v>0.9346678899999999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78.05857109999999</v>
      </c>
      <c r="F63" s="20" t="n">
        <v>2.09971452</v>
      </c>
      <c r="G63" s="18" t="n">
        <v>13.5674599</v>
      </c>
      <c r="H63" s="20" t="n">
        <v>1.54799173</v>
      </c>
      <c r="I63" s="18" t="s">
        <v>349</v>
      </c>
      <c r="J63" s="20" t="s">
        <v>349</v>
      </c>
      <c r="K63" s="18" t="n">
        <v>2.08303066</v>
      </c>
      <c r="L63" s="20" t="n">
        <v>0.63476069</v>
      </c>
      <c r="M63" s="18" t="n">
        <v>0</v>
      </c>
      <c r="N63" s="20" t="n">
        <v>0</v>
      </c>
      <c r="O63" s="18" t="n">
        <v>0</v>
      </c>
      <c r="P63" s="20" t="n">
        <v>0</v>
      </c>
      <c r="Q63" s="18" t="n">
        <v>6.29093834</v>
      </c>
      <c r="R63" s="20" t="n">
        <v>1.06442086</v>
      </c>
    </row>
    <row r="64" spans="1:18">
      <c r="A64" s="15" t="s">
        <v>406</v>
      </c>
      <c r="B64" s="17" t="n">
        <v>1844</v>
      </c>
      <c r="C64" s="18">
        <f>(1537.0/B64*100)</f>
        <v/>
      </c>
      <c r="D64" s="19" t="n">
        <v>307</v>
      </c>
      <c r="E64" s="18" t="n">
        <v>60.80510125</v>
      </c>
      <c r="F64" s="20" t="n">
        <v>2.99455462</v>
      </c>
      <c r="G64" s="18" t="n">
        <v>36.80626892</v>
      </c>
      <c r="H64" s="20" t="n">
        <v>2.89634194</v>
      </c>
      <c r="I64" s="18" t="s">
        <v>349</v>
      </c>
      <c r="J64" s="20" t="s">
        <v>349</v>
      </c>
      <c r="K64" s="18" t="n">
        <v>0.65518599</v>
      </c>
      <c r="L64" s="20" t="n">
        <v>0.45699065</v>
      </c>
      <c r="M64" s="18" t="n">
        <v>0</v>
      </c>
      <c r="N64" s="20" t="n">
        <v>0</v>
      </c>
      <c r="O64" s="18" t="n">
        <v>0</v>
      </c>
      <c r="P64" s="20" t="n">
        <v>0</v>
      </c>
      <c r="Q64" s="18" t="n">
        <v>1.73344384</v>
      </c>
      <c r="R64" s="20" t="n">
        <v>0.7612055599999999</v>
      </c>
    </row>
    <row r="65" spans="1:18">
      <c r="A65" s="15" t="s">
        <v>407</v>
      </c>
      <c r="B65" s="17" t="n">
        <v>2691</v>
      </c>
      <c r="C65" s="18">
        <f>(2252.0/B65*100)</f>
        <v/>
      </c>
      <c r="D65" s="19" t="n">
        <v>439</v>
      </c>
      <c r="E65" s="18" t="n">
        <v>77.13230540000001</v>
      </c>
      <c r="F65" s="20" t="n">
        <v>2.1626013</v>
      </c>
      <c r="G65" s="18" t="n">
        <v>15.87992565</v>
      </c>
      <c r="H65" s="20" t="n">
        <v>1.61631327</v>
      </c>
      <c r="I65" s="18" t="s">
        <v>349</v>
      </c>
      <c r="J65" s="20" t="s">
        <v>349</v>
      </c>
      <c r="K65" s="18" t="n">
        <v>2.34339784</v>
      </c>
      <c r="L65" s="20" t="n">
        <v>0.71305951</v>
      </c>
      <c r="M65" s="18" t="n">
        <v>0.24178479</v>
      </c>
      <c r="N65" s="20" t="n">
        <v>0.26162275</v>
      </c>
      <c r="O65" s="18" t="n">
        <v>0</v>
      </c>
      <c r="P65" s="20" t="n">
        <v>0</v>
      </c>
      <c r="Q65" s="18" t="n">
        <v>4.40258632</v>
      </c>
      <c r="R65" s="20" t="n">
        <v>1.08908587</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79.49032266</v>
      </c>
      <c r="F69" s="20" t="n">
        <v>2.07618419</v>
      </c>
      <c r="G69" s="18" t="n">
        <v>20.50967734</v>
      </c>
      <c r="H69" s="20" t="n">
        <v>2.07618419</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79.84940449</v>
      </c>
      <c r="F74" s="20" t="n">
        <v>2.38265744</v>
      </c>
      <c r="G74" s="18" t="n">
        <v>14.01300644</v>
      </c>
      <c r="H74" s="20" t="n">
        <v>1.92201722</v>
      </c>
      <c r="I74" s="18" t="s">
        <v>349</v>
      </c>
      <c r="J74" s="20" t="s">
        <v>349</v>
      </c>
      <c r="K74" s="18" t="n">
        <v>3.38896813</v>
      </c>
      <c r="L74" s="20" t="n">
        <v>1.12363665</v>
      </c>
      <c r="M74" s="18" t="n">
        <v>0</v>
      </c>
      <c r="N74" s="20" t="n">
        <v>0</v>
      </c>
      <c r="O74" s="18" t="n">
        <v>0</v>
      </c>
      <c r="P74" s="20" t="n">
        <v>0</v>
      </c>
      <c r="Q74" s="18" t="n">
        <v>2.74862094</v>
      </c>
      <c r="R74" s="20" t="n">
        <v>0.91728182</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49.38819277</v>
      </c>
      <c r="F78" s="20" t="n">
        <v>2.71140594</v>
      </c>
      <c r="G78" s="18" t="n">
        <v>50.61180723</v>
      </c>
      <c r="H78" s="20" t="n">
        <v>2.71140594</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(656.0/B79*100)</f>
        <v/>
      </c>
      <c r="D79" s="19" t="n">
        <v>131</v>
      </c>
      <c r="E79" s="18" t="n">
        <v>52.34204288</v>
      </c>
      <c r="F79" s="20" t="n">
        <v>4.50526428</v>
      </c>
      <c r="G79" s="18" t="n">
        <v>44.26670483</v>
      </c>
      <c r="H79" s="20" t="n">
        <v>4.66054531</v>
      </c>
      <c r="I79" s="18" t="s">
        <v>349</v>
      </c>
      <c r="J79" s="20" t="s">
        <v>349</v>
      </c>
      <c r="K79" s="18" t="n">
        <v>2.35023172</v>
      </c>
      <c r="L79" s="20" t="n">
        <v>2.17312982</v>
      </c>
      <c r="M79" s="18" t="n">
        <v>0</v>
      </c>
      <c r="N79" s="20" t="n">
        <v>0</v>
      </c>
      <c r="O79" s="18" t="n">
        <v>0</v>
      </c>
      <c r="P79" s="20" t="n">
        <v>0</v>
      </c>
      <c r="Q79" s="18" t="n">
        <v>1.04102057</v>
      </c>
      <c r="R79" s="20" t="n">
        <v>0.79388011</v>
      </c>
    </row>
    <row r="80" spans="1:18">
      <c r="A80" s="15" t="s">
        <v>422</v>
      </c>
      <c r="B80" s="17" t="n">
        <v>3798</v>
      </c>
      <c r="C80" s="18">
        <f>(3177.0/B80*100)</f>
        <v/>
      </c>
      <c r="D80" s="19" t="n">
        <v>621</v>
      </c>
      <c r="E80" s="18" t="n">
        <v>90.34315493</v>
      </c>
      <c r="F80" s="20" t="n">
        <v>1.62146463</v>
      </c>
      <c r="G80" s="18" t="n">
        <v>9.65070268</v>
      </c>
      <c r="H80" s="20" t="n">
        <v>1.62154601</v>
      </c>
      <c r="I80" s="18" t="s">
        <v>349</v>
      </c>
      <c r="J80" s="20" t="s">
        <v>349</v>
      </c>
      <c r="K80" s="18" t="n">
        <v>0</v>
      </c>
      <c r="L80" s="20" t="n">
        <v>0</v>
      </c>
      <c r="M80" s="18" t="n">
        <v>0</v>
      </c>
      <c r="N80" s="20" t="n">
        <v>0</v>
      </c>
      <c r="O80" s="18" t="n">
        <v>0</v>
      </c>
      <c r="P80" s="20" t="n">
        <v>0</v>
      </c>
      <c r="Q80" s="18" t="n">
        <v>0.00614239</v>
      </c>
      <c r="R80" s="20" t="n">
        <v>0.00616414</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65.12335003</v>
      </c>
      <c r="F44" s="20" t="n">
        <v>2.34703063</v>
      </c>
      <c r="G44" s="18" t="n">
        <v>27.81773281</v>
      </c>
      <c r="H44" s="20" t="n">
        <v>2.34605883</v>
      </c>
      <c r="I44" s="18" t="s">
        <v>349</v>
      </c>
      <c r="J44" s="20" t="s">
        <v>349</v>
      </c>
      <c r="K44" s="18" t="n">
        <v>3.2669401</v>
      </c>
      <c r="L44" s="20" t="n">
        <v>0.83537673</v>
      </c>
      <c r="M44" s="18" t="n">
        <v>0</v>
      </c>
      <c r="N44" s="20" t="n">
        <v>0</v>
      </c>
      <c r="O44" s="18" t="n">
        <v>0</v>
      </c>
      <c r="P44" s="20" t="n">
        <v>0</v>
      </c>
      <c r="Q44" s="18" t="n">
        <v>3.79197705</v>
      </c>
      <c r="R44" s="20" t="n">
        <v>1.17113561</v>
      </c>
    </row>
    <row r="45" spans="1:18">
      <c r="A45" s="15" t="s">
        <v>387</v>
      </c>
      <c r="B45" s="17" t="n">
        <v>2849</v>
      </c>
      <c r="C45" s="18">
        <f>(2380.0/B45*100)</f>
        <v/>
      </c>
      <c r="D45" s="19" t="n">
        <v>469</v>
      </c>
      <c r="E45" s="18" t="n">
        <v>74.95353753000001</v>
      </c>
      <c r="F45" s="20" t="n">
        <v>2.74557173</v>
      </c>
      <c r="G45" s="18" t="n">
        <v>17.0480427</v>
      </c>
      <c r="H45" s="20" t="n">
        <v>2.28299178</v>
      </c>
      <c r="I45" s="18" t="s">
        <v>349</v>
      </c>
      <c r="J45" s="20" t="s">
        <v>349</v>
      </c>
      <c r="K45" s="18" t="n">
        <v>4.37714394</v>
      </c>
      <c r="L45" s="20" t="n">
        <v>1.14958905</v>
      </c>
      <c r="M45" s="18" t="n">
        <v>0</v>
      </c>
      <c r="N45" s="20" t="n">
        <v>0</v>
      </c>
      <c r="O45" s="18" t="n">
        <v>0.18488611</v>
      </c>
      <c r="P45" s="20" t="n">
        <v>0.18816225</v>
      </c>
      <c r="Q45" s="18" t="n">
        <v>3.43638973</v>
      </c>
      <c r="R45" s="20" t="n">
        <v>1.11600881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68.17515198</v>
      </c>
      <c r="F49" s="20" t="n">
        <v>2.53507068</v>
      </c>
      <c r="G49" s="18" t="n">
        <v>28.57390135</v>
      </c>
      <c r="H49" s="20" t="n">
        <v>2.4091122</v>
      </c>
      <c r="I49" s="18" t="s">
        <v>349</v>
      </c>
      <c r="J49" s="20" t="s">
        <v>349</v>
      </c>
      <c r="K49" s="18" t="n">
        <v>2.26637714</v>
      </c>
      <c r="L49" s="20" t="n">
        <v>0.74896933</v>
      </c>
      <c r="M49" s="18" t="n">
        <v>0</v>
      </c>
      <c r="N49" s="20" t="n">
        <v>0</v>
      </c>
      <c r="O49" s="18" t="n">
        <v>0</v>
      </c>
      <c r="P49" s="20" t="n">
        <v>0</v>
      </c>
      <c r="Q49" s="18" t="n">
        <v>0.98456953</v>
      </c>
      <c r="R49" s="20" t="n">
        <v>0.46369795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69.49779827</v>
      </c>
      <c r="F55" s="20" t="n">
        <v>2.44955245</v>
      </c>
      <c r="G55" s="18" t="n">
        <v>26.6822514</v>
      </c>
      <c r="H55" s="20" t="n">
        <v>2.46732932</v>
      </c>
      <c r="I55" s="18" t="s">
        <v>349</v>
      </c>
      <c r="J55" s="20" t="s">
        <v>349</v>
      </c>
      <c r="K55" s="18" t="n">
        <v>1.51937804</v>
      </c>
      <c r="L55" s="20" t="n">
        <v>0.52706581</v>
      </c>
      <c r="M55" s="18" t="n">
        <v>0</v>
      </c>
      <c r="N55" s="20" t="n">
        <v>0</v>
      </c>
      <c r="O55" s="18" t="n">
        <v>0.22064902</v>
      </c>
      <c r="P55" s="20" t="n">
        <v>0.2229731</v>
      </c>
      <c r="Q55" s="18" t="n">
        <v>2.07992328</v>
      </c>
      <c r="R55" s="20" t="n">
        <v>0.6330016000000001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74.24816285</v>
      </c>
      <c r="F57" s="20" t="n">
        <v>2.13285434</v>
      </c>
      <c r="G57" s="18" t="n">
        <v>23.92827732</v>
      </c>
      <c r="H57" s="20" t="n">
        <v>2.0319512</v>
      </c>
      <c r="I57" s="18" t="s">
        <v>349</v>
      </c>
      <c r="J57" s="20" t="s">
        <v>349</v>
      </c>
      <c r="K57" s="18" t="n">
        <v>0.6705997</v>
      </c>
      <c r="L57" s="20" t="n">
        <v>0.34945894</v>
      </c>
      <c r="M57" s="18" t="n">
        <v>0</v>
      </c>
      <c r="N57" s="20" t="n">
        <v>0</v>
      </c>
      <c r="O57" s="18" t="n">
        <v>0</v>
      </c>
      <c r="P57" s="20" t="n">
        <v>0</v>
      </c>
      <c r="Q57" s="18" t="n">
        <v>1.15296014</v>
      </c>
      <c r="R57" s="20" t="n">
        <v>0.5495869799999999</v>
      </c>
    </row>
    <row r="58" spans="1:18">
      <c r="A58" s="15" t="s">
        <v>400</v>
      </c>
      <c r="B58" s="17" t="n">
        <v>3530</v>
      </c>
      <c r="C58" s="18">
        <f>(2948.0/B58*100)</f>
        <v/>
      </c>
      <c r="D58" s="19" t="n">
        <v>582</v>
      </c>
      <c r="E58" s="18" t="n">
        <v>69.14390371</v>
      </c>
      <c r="F58" s="20" t="n">
        <v>2.43607878</v>
      </c>
      <c r="G58" s="18" t="n">
        <v>24.36199432</v>
      </c>
      <c r="H58" s="20" t="n">
        <v>2.0888557</v>
      </c>
      <c r="I58" s="18" t="s">
        <v>349</v>
      </c>
      <c r="J58" s="20" t="s">
        <v>349</v>
      </c>
      <c r="K58" s="18" t="n">
        <v>4.52541576</v>
      </c>
      <c r="L58" s="20" t="n">
        <v>1.27097207</v>
      </c>
      <c r="M58" s="18" t="n">
        <v>0</v>
      </c>
      <c r="N58" s="20" t="n">
        <v>0</v>
      </c>
      <c r="O58" s="18" t="n">
        <v>0</v>
      </c>
      <c r="P58" s="20" t="n">
        <v>0</v>
      </c>
      <c r="Q58" s="18" t="n">
        <v>1.96868621</v>
      </c>
      <c r="R58" s="20" t="n">
        <v>0.74375229</v>
      </c>
    </row>
    <row r="59" spans="1:18">
      <c r="A59" s="15" t="s">
        <v>401</v>
      </c>
      <c r="B59" s="17" t="n">
        <v>2548</v>
      </c>
      <c r="C59" s="18">
        <f>(2128.0/B59*100)</f>
        <v/>
      </c>
      <c r="D59" s="19" t="n">
        <v>420</v>
      </c>
      <c r="E59" s="18" t="n">
        <v>76.46517622</v>
      </c>
      <c r="F59" s="20" t="n">
        <v>2.26102667</v>
      </c>
      <c r="G59" s="18" t="n">
        <v>21.16850793</v>
      </c>
      <c r="H59" s="20" t="n">
        <v>2.17186545</v>
      </c>
      <c r="I59" s="18" t="s">
        <v>349</v>
      </c>
      <c r="J59" s="20" t="s">
        <v>349</v>
      </c>
      <c r="K59" s="18" t="n">
        <v>0.21734781</v>
      </c>
      <c r="L59" s="20" t="n">
        <v>0.15338304</v>
      </c>
      <c r="M59" s="18" t="n">
        <v>0</v>
      </c>
      <c r="N59" s="20" t="n">
        <v>0</v>
      </c>
      <c r="O59" s="18" t="n">
        <v>0</v>
      </c>
      <c r="P59" s="20" t="n">
        <v>0</v>
      </c>
      <c r="Q59" s="18" t="n">
        <v>2.14896804</v>
      </c>
      <c r="R59" s="20" t="n">
        <v>0.71093003</v>
      </c>
    </row>
    <row r="60" spans="1:18">
      <c r="A60" s="15" t="s">
        <v>402</v>
      </c>
      <c r="B60" s="17" t="n">
        <v>2095</v>
      </c>
      <c r="C60" s="18">
        <f>(1746.0/B60*100)</f>
        <v/>
      </c>
      <c r="D60" s="19" t="n">
        <v>349</v>
      </c>
      <c r="E60" s="18" t="n">
        <v>69.70209087000001</v>
      </c>
      <c r="F60" s="20" t="n">
        <v>2.7155386</v>
      </c>
      <c r="G60" s="18" t="n">
        <v>25.08190227</v>
      </c>
      <c r="H60" s="20" t="n">
        <v>2.79475303</v>
      </c>
      <c r="I60" s="18" t="s">
        <v>349</v>
      </c>
      <c r="J60" s="20" t="s">
        <v>349</v>
      </c>
      <c r="K60" s="18" t="n">
        <v>3.46389598</v>
      </c>
      <c r="L60" s="20" t="n">
        <v>1.13676244</v>
      </c>
      <c r="M60" s="18" t="n">
        <v>0</v>
      </c>
      <c r="N60" s="20" t="n">
        <v>0</v>
      </c>
      <c r="O60" s="18" t="n">
        <v>0</v>
      </c>
      <c r="P60" s="20" t="n">
        <v>0</v>
      </c>
      <c r="Q60" s="18" t="n">
        <v>1.75211088</v>
      </c>
      <c r="R60" s="20" t="n">
        <v>0.66187038</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67.4881053</v>
      </c>
      <c r="F63" s="20" t="n">
        <v>2.5023271</v>
      </c>
      <c r="G63" s="18" t="n">
        <v>24.18071567</v>
      </c>
      <c r="H63" s="20" t="n">
        <v>1.84954007</v>
      </c>
      <c r="I63" s="18" t="s">
        <v>349</v>
      </c>
      <c r="J63" s="20" t="s">
        <v>349</v>
      </c>
      <c r="K63" s="18" t="n">
        <v>2.65156847</v>
      </c>
      <c r="L63" s="20" t="n">
        <v>0.7254372100000001</v>
      </c>
      <c r="M63" s="18" t="n">
        <v>0</v>
      </c>
      <c r="N63" s="20" t="n">
        <v>0</v>
      </c>
      <c r="O63" s="18" t="n">
        <v>0</v>
      </c>
      <c r="P63" s="20" t="n">
        <v>0</v>
      </c>
      <c r="Q63" s="18" t="n">
        <v>5.67961056</v>
      </c>
      <c r="R63" s="20" t="n">
        <v>1.1679218</v>
      </c>
    </row>
    <row r="64" spans="1:18">
      <c r="A64" s="15" t="s">
        <v>406</v>
      </c>
      <c r="B64" s="17" t="n">
        <v>1844</v>
      </c>
      <c r="C64" s="18">
        <f>(1537.0/B64*100)</f>
        <v/>
      </c>
      <c r="D64" s="19" t="n">
        <v>307</v>
      </c>
      <c r="E64" s="18" t="n">
        <v>49.00245584</v>
      </c>
      <c r="F64" s="20" t="n">
        <v>2.67650412</v>
      </c>
      <c r="G64" s="18" t="n">
        <v>48.60261962</v>
      </c>
      <c r="H64" s="20" t="n">
        <v>2.73597118</v>
      </c>
      <c r="I64" s="18" t="s">
        <v>349</v>
      </c>
      <c r="J64" s="20" t="s">
        <v>349</v>
      </c>
      <c r="K64" s="18" t="n">
        <v>0.65518599</v>
      </c>
      <c r="L64" s="20" t="n">
        <v>0.45699065</v>
      </c>
      <c r="M64" s="18" t="n">
        <v>0</v>
      </c>
      <c r="N64" s="20" t="n">
        <v>0</v>
      </c>
      <c r="O64" s="18" t="n">
        <v>0</v>
      </c>
      <c r="P64" s="20" t="n">
        <v>0</v>
      </c>
      <c r="Q64" s="18" t="n">
        <v>1.73973854</v>
      </c>
      <c r="R64" s="20" t="n">
        <v>0.76592178</v>
      </c>
    </row>
    <row r="65" spans="1:18">
      <c r="A65" s="15" t="s">
        <v>407</v>
      </c>
      <c r="B65" s="17" t="n">
        <v>2691</v>
      </c>
      <c r="C65" s="18">
        <f>(2252.0/B65*100)</f>
        <v/>
      </c>
      <c r="D65" s="19" t="n">
        <v>439</v>
      </c>
      <c r="E65" s="18" t="n">
        <v>62.61514687</v>
      </c>
      <c r="F65" s="20" t="n">
        <v>2.3809711</v>
      </c>
      <c r="G65" s="18" t="n">
        <v>31.92269807</v>
      </c>
      <c r="H65" s="20" t="n">
        <v>2.23750927</v>
      </c>
      <c r="I65" s="18" t="s">
        <v>349</v>
      </c>
      <c r="J65" s="20" t="s">
        <v>349</v>
      </c>
      <c r="K65" s="18" t="n">
        <v>2.72026707</v>
      </c>
      <c r="L65" s="20" t="n">
        <v>0.71550041</v>
      </c>
      <c r="M65" s="18" t="n">
        <v>0.24178479</v>
      </c>
      <c r="N65" s="20" t="n">
        <v>0.26162275</v>
      </c>
      <c r="O65" s="18" t="n">
        <v>0</v>
      </c>
      <c r="P65" s="20" t="n">
        <v>0</v>
      </c>
      <c r="Q65" s="18" t="n">
        <v>2.50010321</v>
      </c>
      <c r="R65" s="20" t="n">
        <v>0.81368045</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64.94030427</v>
      </c>
      <c r="F69" s="20" t="n">
        <v>2.56945917</v>
      </c>
      <c r="G69" s="18" t="n">
        <v>35.05969573</v>
      </c>
      <c r="H69" s="20" t="n">
        <v>2.56945917</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57.32259652</v>
      </c>
      <c r="F74" s="20" t="n">
        <v>2.94708002</v>
      </c>
      <c r="G74" s="18" t="n">
        <v>35.71632258</v>
      </c>
      <c r="H74" s="20" t="n">
        <v>2.70419967</v>
      </c>
      <c r="I74" s="18" t="s">
        <v>349</v>
      </c>
      <c r="J74" s="20" t="s">
        <v>349</v>
      </c>
      <c r="K74" s="18" t="n">
        <v>3.75200728</v>
      </c>
      <c r="L74" s="20" t="n">
        <v>1.14653831</v>
      </c>
      <c r="M74" s="18" t="n">
        <v>0</v>
      </c>
      <c r="N74" s="20" t="n">
        <v>0</v>
      </c>
      <c r="O74" s="18" t="n">
        <v>0</v>
      </c>
      <c r="P74" s="20" t="n">
        <v>0</v>
      </c>
      <c r="Q74" s="18" t="n">
        <v>3.20907362</v>
      </c>
      <c r="R74" s="20" t="n">
        <v>0.97173877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24.99227255</v>
      </c>
      <c r="F78" s="20" t="n">
        <v>2.84616727</v>
      </c>
      <c r="G78" s="18" t="n">
        <v>75.00772745</v>
      </c>
      <c r="H78" s="20" t="n">
        <v>2.84616727</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(656.0/B79*100)</f>
        <v/>
      </c>
      <c r="D79" s="19" t="n">
        <v>131</v>
      </c>
      <c r="E79" s="18" t="n">
        <v>51.11253428</v>
      </c>
      <c r="F79" s="20" t="n">
        <v>5.49609811</v>
      </c>
      <c r="G79" s="18" t="n">
        <v>43.73547069</v>
      </c>
      <c r="H79" s="20" t="n">
        <v>5.74538781</v>
      </c>
      <c r="I79" s="18" t="s">
        <v>349</v>
      </c>
      <c r="J79" s="20" t="s">
        <v>349</v>
      </c>
      <c r="K79" s="18" t="n">
        <v>2.35023172</v>
      </c>
      <c r="L79" s="20" t="n">
        <v>2.17312982</v>
      </c>
      <c r="M79" s="18" t="n">
        <v>0</v>
      </c>
      <c r="N79" s="20" t="n">
        <v>0</v>
      </c>
      <c r="O79" s="18" t="n">
        <v>0</v>
      </c>
      <c r="P79" s="20" t="n">
        <v>0</v>
      </c>
      <c r="Q79" s="18" t="n">
        <v>2.80176332</v>
      </c>
      <c r="R79" s="20" t="n">
        <v>1.42630875</v>
      </c>
    </row>
    <row r="80" spans="1:18">
      <c r="A80" s="15" t="s">
        <v>422</v>
      </c>
      <c r="B80" s="17" t="n">
        <v>3798</v>
      </c>
      <c r="C80" s="18">
        <f>(3177.0/B80*100)</f>
        <v/>
      </c>
      <c r="D80" s="19" t="n">
        <v>621</v>
      </c>
      <c r="E80" s="18" t="n">
        <v>67.26246387</v>
      </c>
      <c r="F80" s="20" t="n">
        <v>2.15171879</v>
      </c>
      <c r="G80" s="18" t="n">
        <v>32.73753613</v>
      </c>
      <c r="H80" s="20" t="n">
        <v>2.15171879</v>
      </c>
      <c r="I80" s="18" t="s">
        <v>349</v>
      </c>
      <c r="J80" s="20" t="s">
        <v>349</v>
      </c>
      <c r="K80" s="18" t="n">
        <v>0</v>
      </c>
      <c r="L80" s="20" t="n">
        <v>0</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29.46579911</v>
      </c>
      <c r="F44" s="20" t="n">
        <v>2.44149965</v>
      </c>
      <c r="G44" s="18" t="n">
        <v>33.5674538</v>
      </c>
      <c r="H44" s="20" t="n">
        <v>2.90482506</v>
      </c>
      <c r="I44" s="18" t="s">
        <v>349</v>
      </c>
      <c r="J44" s="20" t="s">
        <v>349</v>
      </c>
      <c r="K44" s="18" t="n">
        <v>4.69892383</v>
      </c>
      <c r="L44" s="20" t="n">
        <v>1.03909829</v>
      </c>
      <c r="M44" s="18" t="n">
        <v>0</v>
      </c>
      <c r="N44" s="20" t="n">
        <v>0</v>
      </c>
      <c r="O44" s="18" t="n">
        <v>0</v>
      </c>
      <c r="P44" s="20" t="n">
        <v>0</v>
      </c>
      <c r="Q44" s="18" t="n">
        <v>32.26782325</v>
      </c>
      <c r="R44" s="20" t="n">
        <v>2.53798494</v>
      </c>
    </row>
    <row r="45" spans="1:18">
      <c r="A45" s="15" t="s">
        <v>387</v>
      </c>
      <c r="B45" s="17" t="n">
        <v>2849</v>
      </c>
      <c r="C45" s="18">
        <f>(2380.0/B45*100)</f>
        <v/>
      </c>
      <c r="D45" s="19" t="n">
        <v>469</v>
      </c>
      <c r="E45" s="18" t="n">
        <v>56.78047886</v>
      </c>
      <c r="F45" s="20" t="n">
        <v>2.26496604</v>
      </c>
      <c r="G45" s="18" t="n">
        <v>11.24450581</v>
      </c>
      <c r="H45" s="20" t="n">
        <v>1.40445537</v>
      </c>
      <c r="I45" s="18" t="s">
        <v>349</v>
      </c>
      <c r="J45" s="20" t="s">
        <v>349</v>
      </c>
      <c r="K45" s="18" t="n">
        <v>5.11801855</v>
      </c>
      <c r="L45" s="20" t="n">
        <v>1.24763495</v>
      </c>
      <c r="M45" s="18" t="n">
        <v>0</v>
      </c>
      <c r="N45" s="20" t="n">
        <v>0</v>
      </c>
      <c r="O45" s="18" t="n">
        <v>0.63595792</v>
      </c>
      <c r="P45" s="20" t="n">
        <v>0.33369094</v>
      </c>
      <c r="Q45" s="18" t="n">
        <v>26.22103887</v>
      </c>
      <c r="R45" s="20" t="n">
        <v>1.74283997</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27.65252939</v>
      </c>
      <c r="F49" s="20" t="n">
        <v>2.17395233</v>
      </c>
      <c r="G49" s="18" t="n">
        <v>52.11824992</v>
      </c>
      <c r="H49" s="20" t="n">
        <v>2.72262714</v>
      </c>
      <c r="I49" s="18" t="s">
        <v>349</v>
      </c>
      <c r="J49" s="20" t="s">
        <v>349</v>
      </c>
      <c r="K49" s="18" t="n">
        <v>3.11709169</v>
      </c>
      <c r="L49" s="20" t="n">
        <v>0.82941848</v>
      </c>
      <c r="M49" s="18" t="n">
        <v>0</v>
      </c>
      <c r="N49" s="20" t="n">
        <v>0</v>
      </c>
      <c r="O49" s="18" t="n">
        <v>0</v>
      </c>
      <c r="P49" s="20" t="n">
        <v>0</v>
      </c>
      <c r="Q49" s="18" t="n">
        <v>17.112129</v>
      </c>
      <c r="R49" s="20" t="n">
        <v>2.12295613</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22.77009651</v>
      </c>
      <c r="F55" s="20" t="n">
        <v>2.16369008</v>
      </c>
      <c r="G55" s="18" t="n">
        <v>52.02679857</v>
      </c>
      <c r="H55" s="20" t="n">
        <v>2.78652836</v>
      </c>
      <c r="I55" s="18" t="s">
        <v>349</v>
      </c>
      <c r="J55" s="20" t="s">
        <v>349</v>
      </c>
      <c r="K55" s="18" t="n">
        <v>1.87007072</v>
      </c>
      <c r="L55" s="20" t="n">
        <v>0.62431072</v>
      </c>
      <c r="M55" s="18" t="n">
        <v>0</v>
      </c>
      <c r="N55" s="20" t="n">
        <v>0</v>
      </c>
      <c r="O55" s="18" t="n">
        <v>0.36518913</v>
      </c>
      <c r="P55" s="20" t="n">
        <v>0.25763765</v>
      </c>
      <c r="Q55" s="18" t="n">
        <v>22.96784507</v>
      </c>
      <c r="R55" s="20" t="n">
        <v>2.65164721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72.14136099</v>
      </c>
      <c r="F57" s="20" t="n">
        <v>2.09464344</v>
      </c>
      <c r="G57" s="18" t="n">
        <v>18.35970006</v>
      </c>
      <c r="H57" s="20" t="n">
        <v>1.86435013</v>
      </c>
      <c r="I57" s="18" t="s">
        <v>349</v>
      </c>
      <c r="J57" s="20" t="s">
        <v>349</v>
      </c>
      <c r="K57" s="18" t="n">
        <v>0.6705997</v>
      </c>
      <c r="L57" s="20" t="n">
        <v>0.34945894</v>
      </c>
      <c r="M57" s="18" t="n">
        <v>0</v>
      </c>
      <c r="N57" s="20" t="n">
        <v>0</v>
      </c>
      <c r="O57" s="18" t="n">
        <v>0</v>
      </c>
      <c r="P57" s="20" t="n">
        <v>0</v>
      </c>
      <c r="Q57" s="18" t="n">
        <v>8.828339250000001</v>
      </c>
      <c r="R57" s="20" t="n">
        <v>1.49056104</v>
      </c>
    </row>
    <row r="58" spans="1:18">
      <c r="A58" s="15" t="s">
        <v>400</v>
      </c>
      <c r="B58" s="17" t="n">
        <v>3530</v>
      </c>
      <c r="C58" s="18">
        <f>(2948.0/B58*100)</f>
        <v/>
      </c>
      <c r="D58" s="19" t="n">
        <v>582</v>
      </c>
      <c r="E58" s="18" t="n">
        <v>50.22877609</v>
      </c>
      <c r="F58" s="20" t="n">
        <v>2.86910736</v>
      </c>
      <c r="G58" s="18" t="n">
        <v>31.21752942</v>
      </c>
      <c r="H58" s="20" t="n">
        <v>2.37199687</v>
      </c>
      <c r="I58" s="18" t="s">
        <v>349</v>
      </c>
      <c r="J58" s="20" t="s">
        <v>349</v>
      </c>
      <c r="K58" s="18" t="n">
        <v>5.63816766</v>
      </c>
      <c r="L58" s="20" t="n">
        <v>1.49341741</v>
      </c>
      <c r="M58" s="18" t="n">
        <v>0</v>
      </c>
      <c r="N58" s="20" t="n">
        <v>0</v>
      </c>
      <c r="O58" s="18" t="n">
        <v>0</v>
      </c>
      <c r="P58" s="20" t="n">
        <v>0</v>
      </c>
      <c r="Q58" s="18" t="n">
        <v>12.91552683</v>
      </c>
      <c r="R58" s="20" t="n">
        <v>1.69274593</v>
      </c>
    </row>
    <row r="59" spans="1:18">
      <c r="A59" s="15" t="s">
        <v>401</v>
      </c>
      <c r="B59" s="17" t="n">
        <v>2548</v>
      </c>
      <c r="C59" s="18">
        <f>(2128.0/B59*100)</f>
        <v/>
      </c>
      <c r="D59" s="19" t="n">
        <v>420</v>
      </c>
      <c r="E59" s="18" t="n">
        <v>59.89785976</v>
      </c>
      <c r="F59" s="20" t="n">
        <v>2.44223395</v>
      </c>
      <c r="G59" s="18" t="n">
        <v>16.86255255</v>
      </c>
      <c r="H59" s="20" t="n">
        <v>2.3012379</v>
      </c>
      <c r="I59" s="18" t="s">
        <v>349</v>
      </c>
      <c r="J59" s="20" t="s">
        <v>349</v>
      </c>
      <c r="K59" s="18" t="n">
        <v>0.21734781</v>
      </c>
      <c r="L59" s="20" t="n">
        <v>0.15338304</v>
      </c>
      <c r="M59" s="18" t="n">
        <v>0</v>
      </c>
      <c r="N59" s="20" t="n">
        <v>0</v>
      </c>
      <c r="O59" s="18" t="n">
        <v>0</v>
      </c>
      <c r="P59" s="20" t="n">
        <v>0</v>
      </c>
      <c r="Q59" s="18" t="n">
        <v>23.02223987</v>
      </c>
      <c r="R59" s="20" t="n">
        <v>2.04646516</v>
      </c>
    </row>
    <row r="60" spans="1:18">
      <c r="A60" s="15" t="s">
        <v>402</v>
      </c>
      <c r="B60" s="17" t="n">
        <v>2095</v>
      </c>
      <c r="C60" s="18">
        <f>(1746.0/B60*100)</f>
        <v/>
      </c>
      <c r="D60" s="19" t="n">
        <v>349</v>
      </c>
      <c r="E60" s="18" t="n">
        <v>39.76075909</v>
      </c>
      <c r="F60" s="20" t="n">
        <v>3.34076459</v>
      </c>
      <c r="G60" s="18" t="n">
        <v>32.6495809</v>
      </c>
      <c r="H60" s="20" t="n">
        <v>2.73389224</v>
      </c>
      <c r="I60" s="18" t="s">
        <v>349</v>
      </c>
      <c r="J60" s="20" t="s">
        <v>349</v>
      </c>
      <c r="K60" s="18" t="n">
        <v>4.28329927</v>
      </c>
      <c r="L60" s="20" t="n">
        <v>1.23307476</v>
      </c>
      <c r="M60" s="18" t="n">
        <v>0</v>
      </c>
      <c r="N60" s="20" t="n">
        <v>0</v>
      </c>
      <c r="O60" s="18" t="n">
        <v>0</v>
      </c>
      <c r="P60" s="20" t="n">
        <v>0</v>
      </c>
      <c r="Q60" s="18" t="n">
        <v>23.30636074</v>
      </c>
      <c r="R60" s="20" t="n">
        <v>2.34054925</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32.38749589</v>
      </c>
      <c r="F63" s="20" t="n">
        <v>2.55057317</v>
      </c>
      <c r="G63" s="18" t="n">
        <v>24.44708599</v>
      </c>
      <c r="H63" s="20" t="n">
        <v>2.38190437</v>
      </c>
      <c r="I63" s="18" t="s">
        <v>349</v>
      </c>
      <c r="J63" s="20" t="s">
        <v>349</v>
      </c>
      <c r="K63" s="18" t="n">
        <v>2.73126979</v>
      </c>
      <c r="L63" s="20" t="n">
        <v>0.73022759</v>
      </c>
      <c r="M63" s="18" t="n">
        <v>0</v>
      </c>
      <c r="N63" s="20" t="n">
        <v>0</v>
      </c>
      <c r="O63" s="18" t="n">
        <v>0</v>
      </c>
      <c r="P63" s="20" t="n">
        <v>0</v>
      </c>
      <c r="Q63" s="18" t="n">
        <v>40.43414833</v>
      </c>
      <c r="R63" s="20" t="n">
        <v>2.3908585</v>
      </c>
    </row>
    <row r="64" spans="1:18">
      <c r="A64" s="15" t="s">
        <v>406</v>
      </c>
      <c r="B64" s="17" t="n">
        <v>1844</v>
      </c>
      <c r="C64" s="18">
        <f>(1537.0/B64*100)</f>
        <v/>
      </c>
      <c r="D64" s="19" t="n">
        <v>307</v>
      </c>
      <c r="E64" s="18" t="n">
        <v>31.22367516</v>
      </c>
      <c r="F64" s="20" t="n">
        <v>2.44400079</v>
      </c>
      <c r="G64" s="18" t="n">
        <v>54.26728125</v>
      </c>
      <c r="H64" s="20" t="n">
        <v>2.89263379</v>
      </c>
      <c r="I64" s="18" t="s">
        <v>349</v>
      </c>
      <c r="J64" s="20" t="s">
        <v>349</v>
      </c>
      <c r="K64" s="18" t="n">
        <v>0.96632385</v>
      </c>
      <c r="L64" s="20" t="n">
        <v>0.55097244</v>
      </c>
      <c r="M64" s="18" t="n">
        <v>0</v>
      </c>
      <c r="N64" s="20" t="n">
        <v>0</v>
      </c>
      <c r="O64" s="18" t="n">
        <v>0</v>
      </c>
      <c r="P64" s="20" t="n">
        <v>0</v>
      </c>
      <c r="Q64" s="18" t="n">
        <v>13.54271974</v>
      </c>
      <c r="R64" s="20" t="n">
        <v>1.92811574</v>
      </c>
    </row>
    <row r="65" spans="1:18">
      <c r="A65" s="15" t="s">
        <v>407</v>
      </c>
      <c r="B65" s="17" t="n">
        <v>2691</v>
      </c>
      <c r="C65" s="18">
        <f>(2252.0/B65*100)</f>
        <v/>
      </c>
      <c r="D65" s="19" t="n">
        <v>439</v>
      </c>
      <c r="E65" s="18" t="n">
        <v>30.25655379</v>
      </c>
      <c r="F65" s="20" t="n">
        <v>2.62726932</v>
      </c>
      <c r="G65" s="18" t="n">
        <v>43.04927499</v>
      </c>
      <c r="H65" s="20" t="n">
        <v>2.55471084</v>
      </c>
      <c r="I65" s="18" t="s">
        <v>349</v>
      </c>
      <c r="J65" s="20" t="s">
        <v>349</v>
      </c>
      <c r="K65" s="18" t="n">
        <v>3.71935884</v>
      </c>
      <c r="L65" s="20" t="n">
        <v>0.81679912</v>
      </c>
      <c r="M65" s="18" t="n">
        <v>0.19038133</v>
      </c>
      <c r="N65" s="20" t="n">
        <v>0.19102329</v>
      </c>
      <c r="O65" s="18" t="n">
        <v>0</v>
      </c>
      <c r="P65" s="20" t="n">
        <v>0</v>
      </c>
      <c r="Q65" s="18" t="n">
        <v>22.78443105</v>
      </c>
      <c r="R65" s="20" t="n">
        <v>2.4162316</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53.37236276</v>
      </c>
      <c r="F69" s="20" t="n">
        <v>2.56858415</v>
      </c>
      <c r="G69" s="18" t="n">
        <v>46.62763724</v>
      </c>
      <c r="H69" s="20" t="n">
        <v>2.56858415</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32.10489995</v>
      </c>
      <c r="F74" s="20" t="n">
        <v>2.61751666</v>
      </c>
      <c r="G74" s="18" t="n">
        <v>41.63791678</v>
      </c>
      <c r="H74" s="20" t="n">
        <v>2.91780339</v>
      </c>
      <c r="I74" s="18" t="s">
        <v>349</v>
      </c>
      <c r="J74" s="20" t="s">
        <v>349</v>
      </c>
      <c r="K74" s="18" t="n">
        <v>5.66198725</v>
      </c>
      <c r="L74" s="20" t="n">
        <v>1.36554214</v>
      </c>
      <c r="M74" s="18" t="n">
        <v>0</v>
      </c>
      <c r="N74" s="20" t="n">
        <v>0</v>
      </c>
      <c r="O74" s="18" t="n">
        <v>0</v>
      </c>
      <c r="P74" s="20" t="n">
        <v>0</v>
      </c>
      <c r="Q74" s="18" t="n">
        <v>20.59519602</v>
      </c>
      <c r="R74" s="20" t="n">
        <v>2.35940806</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46.11320579</v>
      </c>
      <c r="F78" s="20" t="n">
        <v>3.26451715</v>
      </c>
      <c r="G78" s="18" t="n">
        <v>52.48169936</v>
      </c>
      <c r="H78" s="20" t="n">
        <v>3.17920237</v>
      </c>
      <c r="I78" s="18" t="s">
        <v>349</v>
      </c>
      <c r="J78" s="20" t="s">
        <v>349</v>
      </c>
      <c r="K78" s="18" t="n">
        <v>0</v>
      </c>
      <c r="L78" s="20" t="n">
        <v>0</v>
      </c>
      <c r="M78" s="18" t="n">
        <v>0</v>
      </c>
      <c r="N78" s="20" t="n">
        <v>0</v>
      </c>
      <c r="O78" s="18" t="n">
        <v>0</v>
      </c>
      <c r="P78" s="20" t="n">
        <v>0</v>
      </c>
      <c r="Q78" s="18" t="n">
        <v>1.40509484</v>
      </c>
      <c r="R78" s="20" t="n">
        <v>0.5174031</v>
      </c>
    </row>
    <row customHeight="1" ht="25" r="79" spans="1:18">
      <c r="A79" s="15" t="s">
        <v>421</v>
      </c>
      <c r="B79" s="17" t="n">
        <v>787</v>
      </c>
      <c r="C79" s="18">
        <f>(656.0/B79*100)</f>
        <v/>
      </c>
      <c r="D79" s="19" t="n">
        <v>131</v>
      </c>
      <c r="E79" s="18" t="n">
        <v>18.48336841</v>
      </c>
      <c r="F79" s="20" t="n">
        <v>2.92684512</v>
      </c>
      <c r="G79" s="18" t="n">
        <v>66.13353290000001</v>
      </c>
      <c r="H79" s="20" t="n">
        <v>3.52570947</v>
      </c>
      <c r="I79" s="18" t="s">
        <v>349</v>
      </c>
      <c r="J79" s="20" t="s">
        <v>349</v>
      </c>
      <c r="K79" s="18" t="n">
        <v>3.64604727</v>
      </c>
      <c r="L79" s="20" t="n">
        <v>2.38790737</v>
      </c>
      <c r="M79" s="18" t="n">
        <v>0</v>
      </c>
      <c r="N79" s="20" t="n">
        <v>0</v>
      </c>
      <c r="O79" s="18" t="n">
        <v>0</v>
      </c>
      <c r="P79" s="20" t="n">
        <v>0</v>
      </c>
      <c r="Q79" s="18" t="n">
        <v>11.73705141</v>
      </c>
      <c r="R79" s="20" t="n">
        <v>2.91498795</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37.37200782</v>
      </c>
      <c r="F44" s="20" t="n">
        <v>2.78591049</v>
      </c>
      <c r="G44" s="18" t="n">
        <v>1.63414999</v>
      </c>
      <c r="H44" s="20" t="n">
        <v>0.52630314</v>
      </c>
      <c r="I44" s="18" t="s">
        <v>349</v>
      </c>
      <c r="J44" s="20" t="s">
        <v>349</v>
      </c>
      <c r="K44" s="18" t="n">
        <v>4.69892383</v>
      </c>
      <c r="L44" s="20" t="n">
        <v>1.03909829</v>
      </c>
      <c r="M44" s="18" t="n">
        <v>0</v>
      </c>
      <c r="N44" s="20" t="n">
        <v>0</v>
      </c>
      <c r="O44" s="18" t="n">
        <v>0</v>
      </c>
      <c r="P44" s="20" t="n">
        <v>0</v>
      </c>
      <c r="Q44" s="18" t="n">
        <v>56.29491836</v>
      </c>
      <c r="R44" s="20" t="n">
        <v>2.8747003</v>
      </c>
    </row>
    <row r="45" spans="1:18">
      <c r="A45" s="15" t="s">
        <v>387</v>
      </c>
      <c r="B45" s="17" t="n">
        <v>2849</v>
      </c>
      <c r="C45" s="18">
        <f>(2380.0/B45*100)</f>
        <v/>
      </c>
      <c r="D45" s="19" t="n">
        <v>469</v>
      </c>
      <c r="E45" s="18" t="n">
        <v>43.10858978</v>
      </c>
      <c r="F45" s="20" t="n">
        <v>2.46422266</v>
      </c>
      <c r="G45" s="18" t="n">
        <v>0</v>
      </c>
      <c r="H45" s="20" t="n">
        <v>0</v>
      </c>
      <c r="I45" s="18" t="s">
        <v>349</v>
      </c>
      <c r="J45" s="20" t="s">
        <v>349</v>
      </c>
      <c r="K45" s="18" t="n">
        <v>5.5634706</v>
      </c>
      <c r="L45" s="20" t="n">
        <v>1.19858112</v>
      </c>
      <c r="M45" s="18" t="n">
        <v>0</v>
      </c>
      <c r="N45" s="20" t="n">
        <v>0</v>
      </c>
      <c r="O45" s="18" t="n">
        <v>0.21558751</v>
      </c>
      <c r="P45" s="20" t="n">
        <v>0.22301759</v>
      </c>
      <c r="Q45" s="18" t="n">
        <v>51.11235212</v>
      </c>
      <c r="R45" s="20" t="n">
        <v>2.68857454</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44.06183606</v>
      </c>
      <c r="F49" s="20" t="n">
        <v>2.8529429</v>
      </c>
      <c r="G49" s="18" t="n">
        <v>2.28984218</v>
      </c>
      <c r="H49" s="20" t="n">
        <v>0.73507667</v>
      </c>
      <c r="I49" s="18" t="s">
        <v>349</v>
      </c>
      <c r="J49" s="20" t="s">
        <v>349</v>
      </c>
      <c r="K49" s="18" t="n">
        <v>3.11709169</v>
      </c>
      <c r="L49" s="20" t="n">
        <v>0.82941848</v>
      </c>
      <c r="M49" s="18" t="n">
        <v>0</v>
      </c>
      <c r="N49" s="20" t="n">
        <v>0</v>
      </c>
      <c r="O49" s="18" t="n">
        <v>0</v>
      </c>
      <c r="P49" s="20" t="n">
        <v>0</v>
      </c>
      <c r="Q49" s="18" t="n">
        <v>50.53123007</v>
      </c>
      <c r="R49" s="20" t="n">
        <v>2.92257675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41.0858768</v>
      </c>
      <c r="F55" s="20" t="n">
        <v>3.00404936</v>
      </c>
      <c r="G55" s="18" t="n">
        <v>3.61008354</v>
      </c>
      <c r="H55" s="20" t="n">
        <v>1.08425378</v>
      </c>
      <c r="I55" s="18" t="s">
        <v>349</v>
      </c>
      <c r="J55" s="20" t="s">
        <v>349</v>
      </c>
      <c r="K55" s="18" t="n">
        <v>1.87007072</v>
      </c>
      <c r="L55" s="20" t="n">
        <v>0.62431072</v>
      </c>
      <c r="M55" s="18" t="n">
        <v>0</v>
      </c>
      <c r="N55" s="20" t="n">
        <v>0</v>
      </c>
      <c r="O55" s="18" t="n">
        <v>0</v>
      </c>
      <c r="P55" s="20" t="n">
        <v>0</v>
      </c>
      <c r="Q55" s="18" t="n">
        <v>53.43396894</v>
      </c>
      <c r="R55" s="20" t="n">
        <v>3.28075085</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70.88336829000001</v>
      </c>
      <c r="F57" s="20" t="n">
        <v>2.2708045</v>
      </c>
      <c r="G57" s="18" t="n">
        <v>1.11336669</v>
      </c>
      <c r="H57" s="20" t="n">
        <v>0.38288382</v>
      </c>
      <c r="I57" s="18" t="s">
        <v>349</v>
      </c>
      <c r="J57" s="20" t="s">
        <v>349</v>
      </c>
      <c r="K57" s="18" t="n">
        <v>0.6705997</v>
      </c>
      <c r="L57" s="20" t="n">
        <v>0.34945894</v>
      </c>
      <c r="M57" s="18" t="n">
        <v>0</v>
      </c>
      <c r="N57" s="20" t="n">
        <v>0</v>
      </c>
      <c r="O57" s="18" t="n">
        <v>0</v>
      </c>
      <c r="P57" s="20" t="n">
        <v>0</v>
      </c>
      <c r="Q57" s="18" t="n">
        <v>27.33266532</v>
      </c>
      <c r="R57" s="20" t="n">
        <v>2.25364241</v>
      </c>
    </row>
    <row r="58" spans="1:18">
      <c r="A58" s="15" t="s">
        <v>400</v>
      </c>
      <c r="B58" s="17" t="n">
        <v>3530</v>
      </c>
      <c r="C58" s="18">
        <f>(2948.0/B58*100)</f>
        <v/>
      </c>
      <c r="D58" s="19" t="n">
        <v>582</v>
      </c>
      <c r="E58" s="18" t="n">
        <v>58.4197676</v>
      </c>
      <c r="F58" s="20" t="n">
        <v>2.48698407</v>
      </c>
      <c r="G58" s="18" t="n">
        <v>1.1307826</v>
      </c>
      <c r="H58" s="20" t="n">
        <v>0.59491144</v>
      </c>
      <c r="I58" s="18" t="s">
        <v>349</v>
      </c>
      <c r="J58" s="20" t="s">
        <v>349</v>
      </c>
      <c r="K58" s="18" t="n">
        <v>6.14016351</v>
      </c>
      <c r="L58" s="20" t="n">
        <v>1.4525377</v>
      </c>
      <c r="M58" s="18" t="n">
        <v>0</v>
      </c>
      <c r="N58" s="20" t="n">
        <v>0</v>
      </c>
      <c r="O58" s="18" t="n">
        <v>0</v>
      </c>
      <c r="P58" s="20" t="n">
        <v>0</v>
      </c>
      <c r="Q58" s="18" t="n">
        <v>34.30928628</v>
      </c>
      <c r="R58" s="20" t="n">
        <v>2.27144528</v>
      </c>
    </row>
    <row r="59" spans="1:18">
      <c r="A59" s="15" t="s">
        <v>401</v>
      </c>
      <c r="B59" s="17" t="n">
        <v>2548</v>
      </c>
      <c r="C59" s="18">
        <f>(2128.0/B59*100)</f>
        <v/>
      </c>
      <c r="D59" s="19" t="n">
        <v>420</v>
      </c>
      <c r="E59" s="18" t="n">
        <v>56.31084845</v>
      </c>
      <c r="F59" s="20" t="n">
        <v>2.78054531</v>
      </c>
      <c r="G59" s="18" t="n">
        <v>0.65271938</v>
      </c>
      <c r="H59" s="20" t="n">
        <v>0.46269768</v>
      </c>
      <c r="I59" s="18" t="s">
        <v>349</v>
      </c>
      <c r="J59" s="20" t="s">
        <v>349</v>
      </c>
      <c r="K59" s="18" t="n">
        <v>0.21734781</v>
      </c>
      <c r="L59" s="20" t="n">
        <v>0.15338304</v>
      </c>
      <c r="M59" s="18" t="n">
        <v>0</v>
      </c>
      <c r="N59" s="20" t="n">
        <v>0</v>
      </c>
      <c r="O59" s="18" t="n">
        <v>0</v>
      </c>
      <c r="P59" s="20" t="n">
        <v>0</v>
      </c>
      <c r="Q59" s="18" t="n">
        <v>42.81908436</v>
      </c>
      <c r="R59" s="20" t="n">
        <v>2.78251425</v>
      </c>
    </row>
    <row r="60" spans="1:18">
      <c r="A60" s="15" t="s">
        <v>402</v>
      </c>
      <c r="B60" s="17" t="n">
        <v>2095</v>
      </c>
      <c r="C60" s="18">
        <f>(1746.0/B60*100)</f>
        <v/>
      </c>
      <c r="D60" s="19" t="n">
        <v>349</v>
      </c>
      <c r="E60" s="18" t="n">
        <v>47.37171198</v>
      </c>
      <c r="F60" s="20" t="n">
        <v>3.00106335</v>
      </c>
      <c r="G60" s="18" t="n">
        <v>6.15737841</v>
      </c>
      <c r="H60" s="20" t="n">
        <v>1.44715285</v>
      </c>
      <c r="I60" s="18" t="s">
        <v>349</v>
      </c>
      <c r="J60" s="20" t="s">
        <v>349</v>
      </c>
      <c r="K60" s="18" t="n">
        <v>4.45169726</v>
      </c>
      <c r="L60" s="20" t="n">
        <v>1.22453569</v>
      </c>
      <c r="M60" s="18" t="n">
        <v>0</v>
      </c>
      <c r="N60" s="20" t="n">
        <v>0</v>
      </c>
      <c r="O60" s="18" t="n">
        <v>0</v>
      </c>
      <c r="P60" s="20" t="n">
        <v>0</v>
      </c>
      <c r="Q60" s="18" t="n">
        <v>42.01921236</v>
      </c>
      <c r="R60" s="20" t="n">
        <v>2.75858741</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29.64594379</v>
      </c>
      <c r="F63" s="20" t="n">
        <v>2.13918208</v>
      </c>
      <c r="G63" s="18" t="n">
        <v>1.64706539</v>
      </c>
      <c r="H63" s="20" t="n">
        <v>0.70873179</v>
      </c>
      <c r="I63" s="18" t="s">
        <v>349</v>
      </c>
      <c r="J63" s="20" t="s">
        <v>349</v>
      </c>
      <c r="K63" s="18" t="n">
        <v>2.73126979</v>
      </c>
      <c r="L63" s="20" t="n">
        <v>0.73022759</v>
      </c>
      <c r="M63" s="18" t="n">
        <v>0</v>
      </c>
      <c r="N63" s="20" t="n">
        <v>0</v>
      </c>
      <c r="O63" s="18" t="n">
        <v>0</v>
      </c>
      <c r="P63" s="20" t="n">
        <v>0</v>
      </c>
      <c r="Q63" s="18" t="n">
        <v>65.97572103</v>
      </c>
      <c r="R63" s="20" t="n">
        <v>2.04701929</v>
      </c>
    </row>
    <row r="64" spans="1:18">
      <c r="A64" s="15" t="s">
        <v>406</v>
      </c>
      <c r="B64" s="17" t="n">
        <v>1844</v>
      </c>
      <c r="C64" s="18">
        <f>(1537.0/B64*100)</f>
        <v/>
      </c>
      <c r="D64" s="19" t="n">
        <v>307</v>
      </c>
      <c r="E64" s="18" t="n">
        <v>62.04976004</v>
      </c>
      <c r="F64" s="20" t="n">
        <v>2.90417443</v>
      </c>
      <c r="G64" s="18" t="n">
        <v>8.825247389999999</v>
      </c>
      <c r="H64" s="20" t="n">
        <v>1.6922987</v>
      </c>
      <c r="I64" s="18" t="s">
        <v>349</v>
      </c>
      <c r="J64" s="20" t="s">
        <v>349</v>
      </c>
      <c r="K64" s="18" t="n">
        <v>0.96632385</v>
      </c>
      <c r="L64" s="20" t="n">
        <v>0.55097244</v>
      </c>
      <c r="M64" s="18" t="n">
        <v>0</v>
      </c>
      <c r="N64" s="20" t="n">
        <v>0</v>
      </c>
      <c r="O64" s="18" t="n">
        <v>0</v>
      </c>
      <c r="P64" s="20" t="n">
        <v>0</v>
      </c>
      <c r="Q64" s="18" t="n">
        <v>28.15866872</v>
      </c>
      <c r="R64" s="20" t="n">
        <v>2.50868287</v>
      </c>
    </row>
    <row r="65" spans="1:18">
      <c r="A65" s="15" t="s">
        <v>407</v>
      </c>
      <c r="B65" s="17" t="n">
        <v>2691</v>
      </c>
      <c r="C65" s="18">
        <f>(2252.0/B65*100)</f>
        <v/>
      </c>
      <c r="D65" s="19" t="n">
        <v>439</v>
      </c>
      <c r="E65" s="18" t="n">
        <v>43.3174312</v>
      </c>
      <c r="F65" s="20" t="n">
        <v>2.86777331</v>
      </c>
      <c r="G65" s="18" t="n">
        <v>1.38750564</v>
      </c>
      <c r="H65" s="20" t="n">
        <v>0.47837461</v>
      </c>
      <c r="I65" s="18" t="s">
        <v>349</v>
      </c>
      <c r="J65" s="20" t="s">
        <v>349</v>
      </c>
      <c r="K65" s="18" t="n">
        <v>3.71935884</v>
      </c>
      <c r="L65" s="20" t="n">
        <v>0.81679912</v>
      </c>
      <c r="M65" s="18" t="n">
        <v>0</v>
      </c>
      <c r="N65" s="20" t="n">
        <v>0</v>
      </c>
      <c r="O65" s="18" t="n">
        <v>0</v>
      </c>
      <c r="P65" s="20" t="n">
        <v>0</v>
      </c>
      <c r="Q65" s="18" t="n">
        <v>51.57570432</v>
      </c>
      <c r="R65" s="20" t="n">
        <v>2.79862142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94.0616347</v>
      </c>
      <c r="F69" s="20" t="n">
        <v>1.0849939</v>
      </c>
      <c r="G69" s="18" t="n">
        <v>5.71643171</v>
      </c>
      <c r="H69" s="20" t="n">
        <v>1.05131256</v>
      </c>
      <c r="I69" s="18" t="s">
        <v>349</v>
      </c>
      <c r="J69" s="20" t="s">
        <v>349</v>
      </c>
      <c r="K69" s="18" t="n">
        <v>0</v>
      </c>
      <c r="L69" s="20" t="n">
        <v>0</v>
      </c>
      <c r="M69" s="18" t="n">
        <v>0</v>
      </c>
      <c r="N69" s="20" t="n">
        <v>0</v>
      </c>
      <c r="O69" s="18" t="n">
        <v>0</v>
      </c>
      <c r="P69" s="20" t="n">
        <v>0</v>
      </c>
      <c r="Q69" s="18" t="n">
        <v>0.22193359</v>
      </c>
      <c r="R69" s="20" t="n">
        <v>0.22422445</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46.85001302</v>
      </c>
      <c r="F74" s="20" t="n">
        <v>2.93703764</v>
      </c>
      <c r="G74" s="18" t="n">
        <v>1.77574469</v>
      </c>
      <c r="H74" s="20" t="n">
        <v>0.70163373</v>
      </c>
      <c r="I74" s="18" t="s">
        <v>349</v>
      </c>
      <c r="J74" s="20" t="s">
        <v>349</v>
      </c>
      <c r="K74" s="18" t="n">
        <v>6.1057774</v>
      </c>
      <c r="L74" s="20" t="n">
        <v>1.39351481</v>
      </c>
      <c r="M74" s="18" t="n">
        <v>0</v>
      </c>
      <c r="N74" s="20" t="n">
        <v>0</v>
      </c>
      <c r="O74" s="18" t="n">
        <v>0</v>
      </c>
      <c r="P74" s="20" t="n">
        <v>0</v>
      </c>
      <c r="Q74" s="18" t="n">
        <v>45.2684649</v>
      </c>
      <c r="R74" s="20" t="n">
        <v>3.24072928</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86.06921647999999</v>
      </c>
      <c r="F78" s="20" t="n">
        <v>1.91388374</v>
      </c>
      <c r="G78" s="18" t="n">
        <v>4.80700412</v>
      </c>
      <c r="H78" s="20" t="n">
        <v>1.08225419</v>
      </c>
      <c r="I78" s="18" t="s">
        <v>349</v>
      </c>
      <c r="J78" s="20" t="s">
        <v>349</v>
      </c>
      <c r="K78" s="18" t="n">
        <v>0</v>
      </c>
      <c r="L78" s="20" t="n">
        <v>0</v>
      </c>
      <c r="M78" s="18" t="n">
        <v>0</v>
      </c>
      <c r="N78" s="20" t="n">
        <v>0</v>
      </c>
      <c r="O78" s="18" t="n">
        <v>0</v>
      </c>
      <c r="P78" s="20" t="n">
        <v>0</v>
      </c>
      <c r="Q78" s="18" t="n">
        <v>9.1237794</v>
      </c>
      <c r="R78" s="20" t="n">
        <v>1.6505105</v>
      </c>
    </row>
    <row customHeight="1" ht="25" r="79" spans="1:18">
      <c r="A79" s="15" t="s">
        <v>421</v>
      </c>
      <c r="B79" s="17" t="n">
        <v>787</v>
      </c>
      <c r="C79" s="18">
        <f>(656.0/B79*100)</f>
        <v/>
      </c>
      <c r="D79" s="19" t="n">
        <v>131</v>
      </c>
      <c r="E79" s="18" t="n">
        <v>44.66779704</v>
      </c>
      <c r="F79" s="20" t="n">
        <v>2.92497966</v>
      </c>
      <c r="G79" s="18" t="n">
        <v>6.81346123</v>
      </c>
      <c r="H79" s="20" t="n">
        <v>2.30715706</v>
      </c>
      <c r="I79" s="18" t="s">
        <v>349</v>
      </c>
      <c r="J79" s="20" t="s">
        <v>349</v>
      </c>
      <c r="K79" s="18" t="n">
        <v>3.64604727</v>
      </c>
      <c r="L79" s="20" t="n">
        <v>2.38790737</v>
      </c>
      <c r="M79" s="18" t="n">
        <v>0</v>
      </c>
      <c r="N79" s="20" t="n">
        <v>0</v>
      </c>
      <c r="O79" s="18" t="n">
        <v>0</v>
      </c>
      <c r="P79" s="20" t="n">
        <v>0</v>
      </c>
      <c r="Q79" s="18" t="n">
        <v>44.87269445</v>
      </c>
      <c r="R79" s="20" t="n">
        <v>4.28222745</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34.79969761</v>
      </c>
      <c r="F44" s="20" t="n">
        <v>2.56219717</v>
      </c>
      <c r="G44" s="18" t="n">
        <v>47.03290009</v>
      </c>
      <c r="H44" s="20" t="n">
        <v>3.06996425</v>
      </c>
      <c r="I44" s="18" t="s">
        <v>349</v>
      </c>
      <c r="J44" s="20" t="s">
        <v>349</v>
      </c>
      <c r="K44" s="18" t="n">
        <v>4.69892383</v>
      </c>
      <c r="L44" s="20" t="n">
        <v>1.03909829</v>
      </c>
      <c r="M44" s="18" t="n">
        <v>0</v>
      </c>
      <c r="N44" s="20" t="n">
        <v>0</v>
      </c>
      <c r="O44" s="18" t="n">
        <v>5.87708594</v>
      </c>
      <c r="P44" s="20" t="n">
        <v>1.53852817</v>
      </c>
      <c r="Q44" s="18" t="n">
        <v>7.59139252</v>
      </c>
      <c r="R44" s="20" t="n">
        <v>1.38943633</v>
      </c>
    </row>
    <row r="45" spans="1:18">
      <c r="A45" s="15" t="s">
        <v>387</v>
      </c>
      <c r="B45" s="17" t="n">
        <v>2849</v>
      </c>
      <c r="C45" s="18">
        <f>(2380.0/B45*100)</f>
        <v/>
      </c>
      <c r="D45" s="19" t="n">
        <v>469</v>
      </c>
      <c r="E45" s="18" t="n">
        <v>41.74866304</v>
      </c>
      <c r="F45" s="20" t="n">
        <v>2.05923614</v>
      </c>
      <c r="G45" s="18" t="n">
        <v>38.6002097</v>
      </c>
      <c r="H45" s="20" t="n">
        <v>2.29161903</v>
      </c>
      <c r="I45" s="18" t="s">
        <v>349</v>
      </c>
      <c r="J45" s="20" t="s">
        <v>349</v>
      </c>
      <c r="K45" s="18" t="n">
        <v>5.5634706</v>
      </c>
      <c r="L45" s="20" t="n">
        <v>1.19858112</v>
      </c>
      <c r="M45" s="18" t="n">
        <v>0</v>
      </c>
      <c r="N45" s="20" t="n">
        <v>0</v>
      </c>
      <c r="O45" s="18" t="n">
        <v>5.32480036</v>
      </c>
      <c r="P45" s="20" t="n">
        <v>1.20463826</v>
      </c>
      <c r="Q45" s="18" t="n">
        <v>8.76285631</v>
      </c>
      <c r="R45" s="20" t="n">
        <v>1.63276601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37.07026652</v>
      </c>
      <c r="F49" s="20" t="n">
        <v>2.94905159</v>
      </c>
      <c r="G49" s="18" t="n">
        <v>56.52545931</v>
      </c>
      <c r="H49" s="20" t="n">
        <v>2.91475693</v>
      </c>
      <c r="I49" s="18" t="s">
        <v>349</v>
      </c>
      <c r="J49" s="20" t="s">
        <v>349</v>
      </c>
      <c r="K49" s="18" t="n">
        <v>3.11709169</v>
      </c>
      <c r="L49" s="20" t="n">
        <v>0.82941848</v>
      </c>
      <c r="M49" s="18" t="n">
        <v>0</v>
      </c>
      <c r="N49" s="20" t="n">
        <v>0</v>
      </c>
      <c r="O49" s="18" t="n">
        <v>0.59007838</v>
      </c>
      <c r="P49" s="20" t="n">
        <v>0.58085074</v>
      </c>
      <c r="Q49" s="18" t="n">
        <v>2.6971041</v>
      </c>
      <c r="R49" s="20" t="n">
        <v>0.98257726</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53.59898041</v>
      </c>
      <c r="F55" s="20" t="n">
        <v>2.64208322</v>
      </c>
      <c r="G55" s="18" t="n">
        <v>39.70539289</v>
      </c>
      <c r="H55" s="20" t="n">
        <v>2.62909089</v>
      </c>
      <c r="I55" s="18" t="s">
        <v>349</v>
      </c>
      <c r="J55" s="20" t="s">
        <v>349</v>
      </c>
      <c r="K55" s="18" t="n">
        <v>1.87007072</v>
      </c>
      <c r="L55" s="20" t="n">
        <v>0.62431072</v>
      </c>
      <c r="M55" s="18" t="n">
        <v>0</v>
      </c>
      <c r="N55" s="20" t="n">
        <v>0</v>
      </c>
      <c r="O55" s="18" t="n">
        <v>1.05436813</v>
      </c>
      <c r="P55" s="20" t="n">
        <v>0.59167635</v>
      </c>
      <c r="Q55" s="18" t="n">
        <v>3.77118786</v>
      </c>
      <c r="R55" s="20" t="n">
        <v>0.91771028</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50.70320511</v>
      </c>
      <c r="F57" s="20" t="n">
        <v>2.14728826</v>
      </c>
      <c r="G57" s="18" t="n">
        <v>46.92363481</v>
      </c>
      <c r="H57" s="20" t="n">
        <v>2.12238023</v>
      </c>
      <c r="I57" s="18" t="s">
        <v>349</v>
      </c>
      <c r="J57" s="20" t="s">
        <v>349</v>
      </c>
      <c r="K57" s="18" t="n">
        <v>0.6705997</v>
      </c>
      <c r="L57" s="20" t="n">
        <v>0.34945894</v>
      </c>
      <c r="M57" s="18" t="n">
        <v>0</v>
      </c>
      <c r="N57" s="20" t="n">
        <v>0</v>
      </c>
      <c r="O57" s="18" t="n">
        <v>0</v>
      </c>
      <c r="P57" s="20" t="n">
        <v>0</v>
      </c>
      <c r="Q57" s="18" t="n">
        <v>1.70256039</v>
      </c>
      <c r="R57" s="20" t="n">
        <v>0.60663104</v>
      </c>
    </row>
    <row r="58" spans="1:18">
      <c r="A58" s="15" t="s">
        <v>400</v>
      </c>
      <c r="B58" s="17" t="n">
        <v>3530</v>
      </c>
      <c r="C58" s="18">
        <f>(2948.0/B58*100)</f>
        <v/>
      </c>
      <c r="D58" s="19" t="n">
        <v>582</v>
      </c>
      <c r="E58" s="18" t="n">
        <v>42.14880777</v>
      </c>
      <c r="F58" s="20" t="n">
        <v>2.57210177</v>
      </c>
      <c r="G58" s="18" t="n">
        <v>45.01977752</v>
      </c>
      <c r="H58" s="20" t="n">
        <v>2.45458192</v>
      </c>
      <c r="I58" s="18" t="s">
        <v>349</v>
      </c>
      <c r="J58" s="20" t="s">
        <v>349</v>
      </c>
      <c r="K58" s="18" t="n">
        <v>6.55703595</v>
      </c>
      <c r="L58" s="20" t="n">
        <v>1.46204179</v>
      </c>
      <c r="M58" s="18" t="n">
        <v>0</v>
      </c>
      <c r="N58" s="20" t="n">
        <v>0</v>
      </c>
      <c r="O58" s="18" t="n">
        <v>1.28128609</v>
      </c>
      <c r="P58" s="20" t="n">
        <v>0.52147607</v>
      </c>
      <c r="Q58" s="18" t="n">
        <v>4.99309267</v>
      </c>
      <c r="R58" s="20" t="n">
        <v>1.04524501</v>
      </c>
    </row>
    <row r="59" spans="1:18">
      <c r="A59" s="15" t="s">
        <v>401</v>
      </c>
      <c r="B59" s="17" t="n">
        <v>2548</v>
      </c>
      <c r="C59" s="18">
        <f>(2128.0/B59*100)</f>
        <v/>
      </c>
      <c r="D59" s="19" t="n">
        <v>420</v>
      </c>
      <c r="E59" s="18" t="n">
        <v>0</v>
      </c>
      <c r="F59" s="20" t="n">
        <v>0</v>
      </c>
      <c r="G59" s="18" t="n">
        <v>0</v>
      </c>
      <c r="H59" s="20" t="n">
        <v>0</v>
      </c>
      <c r="I59" s="18" t="s">
        <v>349</v>
      </c>
      <c r="J59" s="20" t="s">
        <v>349</v>
      </c>
      <c r="K59" s="18" t="n">
        <v>0</v>
      </c>
      <c r="L59" s="20" t="n">
        <v>0</v>
      </c>
      <c r="M59" s="18" t="n">
        <v>100</v>
      </c>
      <c r="N59" s="20" t="n">
        <v>0</v>
      </c>
      <c r="O59" s="18" t="n">
        <v>0</v>
      </c>
      <c r="P59" s="20" t="n">
        <v>0</v>
      </c>
      <c r="Q59" s="18" t="n">
        <v>0</v>
      </c>
      <c r="R59" s="20" t="n">
        <v>0</v>
      </c>
    </row>
    <row r="60" spans="1:18">
      <c r="A60" s="15" t="s">
        <v>402</v>
      </c>
      <c r="B60" s="17" t="n">
        <v>2095</v>
      </c>
      <c r="C60" s="18">
        <f>(1746.0/B60*100)</f>
        <v/>
      </c>
      <c r="D60" s="19" t="n">
        <v>349</v>
      </c>
      <c r="E60" s="18" t="n">
        <v>46.92408279</v>
      </c>
      <c r="F60" s="20" t="n">
        <v>2.95582965</v>
      </c>
      <c r="G60" s="18" t="n">
        <v>38.54797112</v>
      </c>
      <c r="H60" s="20" t="n">
        <v>3.0328662</v>
      </c>
      <c r="I60" s="18" t="s">
        <v>349</v>
      </c>
      <c r="J60" s="20" t="s">
        <v>349</v>
      </c>
      <c r="K60" s="18" t="n">
        <v>4.98908263</v>
      </c>
      <c r="L60" s="20" t="n">
        <v>1.33751368</v>
      </c>
      <c r="M60" s="18" t="n">
        <v>0</v>
      </c>
      <c r="N60" s="20" t="n">
        <v>0</v>
      </c>
      <c r="O60" s="18" t="n">
        <v>3.9122138</v>
      </c>
      <c r="P60" s="20" t="n">
        <v>1.16164811</v>
      </c>
      <c r="Q60" s="18" t="n">
        <v>5.62664966</v>
      </c>
      <c r="R60" s="20" t="n">
        <v>1.25463014</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46.12516917</v>
      </c>
      <c r="F63" s="20" t="n">
        <v>2.31429968</v>
      </c>
      <c r="G63" s="18" t="n">
        <v>41.68207561</v>
      </c>
      <c r="H63" s="20" t="n">
        <v>2.35198547</v>
      </c>
      <c r="I63" s="18" t="s">
        <v>349</v>
      </c>
      <c r="J63" s="20" t="s">
        <v>349</v>
      </c>
      <c r="K63" s="18" t="n">
        <v>2.73126979</v>
      </c>
      <c r="L63" s="20" t="n">
        <v>0.73022759</v>
      </c>
      <c r="M63" s="18" t="n">
        <v>0</v>
      </c>
      <c r="N63" s="20" t="n">
        <v>0</v>
      </c>
      <c r="O63" s="18" t="n">
        <v>1.97654132</v>
      </c>
      <c r="P63" s="20" t="n">
        <v>0.7230538399999999</v>
      </c>
      <c r="Q63" s="18" t="n">
        <v>7.4849441</v>
      </c>
      <c r="R63" s="20" t="n">
        <v>1.36075652</v>
      </c>
    </row>
    <row r="64" spans="1:18">
      <c r="A64" s="15" t="s">
        <v>406</v>
      </c>
      <c r="B64" s="17" t="n">
        <v>1844</v>
      </c>
      <c r="C64" s="18">
        <f>(1537.0/B64*100)</f>
        <v/>
      </c>
      <c r="D64" s="19" t="n">
        <v>307</v>
      </c>
      <c r="E64" s="18" t="n">
        <v>36.6498151</v>
      </c>
      <c r="F64" s="20" t="n">
        <v>3.02653761</v>
      </c>
      <c r="G64" s="18" t="n">
        <v>56.11545275</v>
      </c>
      <c r="H64" s="20" t="n">
        <v>3.17937341</v>
      </c>
      <c r="I64" s="18" t="s">
        <v>349</v>
      </c>
      <c r="J64" s="20" t="s">
        <v>349</v>
      </c>
      <c r="K64" s="18" t="n">
        <v>0.96632385</v>
      </c>
      <c r="L64" s="20" t="n">
        <v>0.55097244</v>
      </c>
      <c r="M64" s="18" t="n">
        <v>0</v>
      </c>
      <c r="N64" s="20" t="n">
        <v>0</v>
      </c>
      <c r="O64" s="18" t="n">
        <v>1.00615086</v>
      </c>
      <c r="P64" s="20" t="n">
        <v>0.580622</v>
      </c>
      <c r="Q64" s="18" t="n">
        <v>5.26225743</v>
      </c>
      <c r="R64" s="20" t="n">
        <v>1.40706478</v>
      </c>
    </row>
    <row r="65" spans="1:18">
      <c r="A65" s="15" t="s">
        <v>407</v>
      </c>
      <c r="B65" s="17" t="n">
        <v>2691</v>
      </c>
      <c r="C65" s="18">
        <f>(2252.0/B65*100)</f>
        <v/>
      </c>
      <c r="D65" s="19" t="n">
        <v>439</v>
      </c>
      <c r="E65" s="18" t="n">
        <v>40.97430217</v>
      </c>
      <c r="F65" s="20" t="n">
        <v>2.71817539</v>
      </c>
      <c r="G65" s="18" t="n">
        <v>46.60374759</v>
      </c>
      <c r="H65" s="20" t="n">
        <v>2.87737577</v>
      </c>
      <c r="I65" s="18" t="s">
        <v>349</v>
      </c>
      <c r="J65" s="20" t="s">
        <v>349</v>
      </c>
      <c r="K65" s="18" t="n">
        <v>3.71935884</v>
      </c>
      <c r="L65" s="20" t="n">
        <v>0.81679912</v>
      </c>
      <c r="M65" s="18" t="n">
        <v>3.87542318</v>
      </c>
      <c r="N65" s="20" t="n">
        <v>1.06283522</v>
      </c>
      <c r="O65" s="18" t="n">
        <v>0</v>
      </c>
      <c r="P65" s="20" t="n">
        <v>0</v>
      </c>
      <c r="Q65" s="18" t="n">
        <v>4.82716822</v>
      </c>
      <c r="R65" s="20" t="n">
        <v>0.95467147</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52.25014299</v>
      </c>
      <c r="F69" s="20" t="n">
        <v>2.74555647</v>
      </c>
      <c r="G69" s="18" t="n">
        <v>47.52082962</v>
      </c>
      <c r="H69" s="20" t="n">
        <v>2.73431496</v>
      </c>
      <c r="I69" s="18" t="s">
        <v>349</v>
      </c>
      <c r="J69" s="20" t="s">
        <v>349</v>
      </c>
      <c r="K69" s="18" t="n">
        <v>0</v>
      </c>
      <c r="L69" s="20" t="n">
        <v>0</v>
      </c>
      <c r="M69" s="18" t="n">
        <v>0</v>
      </c>
      <c r="N69" s="20" t="n">
        <v>0</v>
      </c>
      <c r="O69" s="18" t="n">
        <v>0</v>
      </c>
      <c r="P69" s="20" t="n">
        <v>0</v>
      </c>
      <c r="Q69" s="18" t="n">
        <v>0.2290274</v>
      </c>
      <c r="R69" s="20" t="n">
        <v>0.22812157</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43.63371584</v>
      </c>
      <c r="F74" s="20" t="n">
        <v>2.89973479</v>
      </c>
      <c r="G74" s="18" t="n">
        <v>44.9847804</v>
      </c>
      <c r="H74" s="20" t="n">
        <v>2.88123389</v>
      </c>
      <c r="I74" s="18" t="s">
        <v>349</v>
      </c>
      <c r="J74" s="20" t="s">
        <v>349</v>
      </c>
      <c r="K74" s="18" t="n">
        <v>6.46135414</v>
      </c>
      <c r="L74" s="20" t="n">
        <v>1.40931027</v>
      </c>
      <c r="M74" s="18" t="n">
        <v>0</v>
      </c>
      <c r="N74" s="20" t="n">
        <v>0</v>
      </c>
      <c r="O74" s="18" t="n">
        <v>0</v>
      </c>
      <c r="P74" s="20" t="n">
        <v>0</v>
      </c>
      <c r="Q74" s="18" t="n">
        <v>4.92014962</v>
      </c>
      <c r="R74" s="20" t="n">
        <v>1.05995006</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22.67419597</v>
      </c>
      <c r="F78" s="20" t="n">
        <v>2.70690133</v>
      </c>
      <c r="G78" s="18" t="n">
        <v>77.04837036000001</v>
      </c>
      <c r="H78" s="20" t="n">
        <v>2.69409805</v>
      </c>
      <c r="I78" s="18" t="s">
        <v>349</v>
      </c>
      <c r="J78" s="20" t="s">
        <v>349</v>
      </c>
      <c r="K78" s="18" t="n">
        <v>0</v>
      </c>
      <c r="L78" s="20" t="n">
        <v>0</v>
      </c>
      <c r="M78" s="18" t="n">
        <v>0</v>
      </c>
      <c r="N78" s="20" t="n">
        <v>0</v>
      </c>
      <c r="O78" s="18" t="n">
        <v>0</v>
      </c>
      <c r="P78" s="20" t="n">
        <v>0</v>
      </c>
      <c r="Q78" s="18" t="n">
        <v>0.27743367</v>
      </c>
      <c r="R78" s="20" t="n">
        <v>0.28654814</v>
      </c>
    </row>
    <row customHeight="1" ht="25" r="79" spans="1:18">
      <c r="A79" s="15" t="s">
        <v>421</v>
      </c>
      <c r="B79" s="17" t="n">
        <v>787</v>
      </c>
      <c r="C79" s="18">
        <f>(656.0/B79*100)</f>
        <v/>
      </c>
      <c r="D79" s="19" t="n">
        <v>131</v>
      </c>
      <c r="E79" s="18" t="n">
        <v>27.09531346</v>
      </c>
      <c r="F79" s="20" t="n">
        <v>4.29959929</v>
      </c>
      <c r="G79" s="18" t="n">
        <v>67.05156143000001</v>
      </c>
      <c r="H79" s="20" t="n">
        <v>4.73509093</v>
      </c>
      <c r="I79" s="18" t="s">
        <v>349</v>
      </c>
      <c r="J79" s="20" t="s">
        <v>349</v>
      </c>
      <c r="K79" s="18" t="n">
        <v>3.64604727</v>
      </c>
      <c r="L79" s="20" t="n">
        <v>2.38790737</v>
      </c>
      <c r="M79" s="18" t="n">
        <v>0</v>
      </c>
      <c r="N79" s="20" t="n">
        <v>0</v>
      </c>
      <c r="O79" s="18" t="n">
        <v>0</v>
      </c>
      <c r="P79" s="20" t="n">
        <v>0</v>
      </c>
      <c r="Q79" s="18" t="n">
        <v>2.20707784</v>
      </c>
      <c r="R79" s="20" t="n">
        <v>1.15386473</v>
      </c>
    </row>
    <row r="80" spans="1:18">
      <c r="A80" s="15" t="s">
        <v>422</v>
      </c>
      <c r="B80" s="17" t="n">
        <v>3798</v>
      </c>
      <c r="C80" s="18">
        <f>(3177.0/B80*100)</f>
        <v/>
      </c>
      <c r="D80" s="19" t="n">
        <v>621</v>
      </c>
      <c r="E80" s="18" t="n">
        <v>51.74077371</v>
      </c>
      <c r="F80" s="20" t="n">
        <v>2.47861762</v>
      </c>
      <c r="G80" s="18" t="n">
        <v>47.83536668</v>
      </c>
      <c r="H80" s="20" t="n">
        <v>2.49435391</v>
      </c>
      <c r="I80" s="18" t="s">
        <v>349</v>
      </c>
      <c r="J80" s="20" t="s">
        <v>349</v>
      </c>
      <c r="K80" s="18" t="n">
        <v>0</v>
      </c>
      <c r="L80" s="20" t="n">
        <v>0</v>
      </c>
      <c r="M80" s="18" t="n">
        <v>0</v>
      </c>
      <c r="N80" s="20" t="n">
        <v>0</v>
      </c>
      <c r="O80" s="18" t="n">
        <v>0</v>
      </c>
      <c r="P80" s="20" t="n">
        <v>0</v>
      </c>
      <c r="Q80" s="18" t="n">
        <v>0.42385961</v>
      </c>
      <c r="R80" s="20" t="n">
        <v>0.38347742</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13.37164536</v>
      </c>
      <c r="F44" s="20" t="n">
        <v>1.83878862</v>
      </c>
      <c r="G44" s="18" t="n">
        <v>15.40845376</v>
      </c>
      <c r="H44" s="20" t="n">
        <v>1.95368913</v>
      </c>
      <c r="I44" s="18" t="s">
        <v>349</v>
      </c>
      <c r="J44" s="20" t="s">
        <v>349</v>
      </c>
      <c r="K44" s="18" t="n">
        <v>6.93123676</v>
      </c>
      <c r="L44" s="20" t="n">
        <v>1.39310861</v>
      </c>
      <c r="M44" s="18" t="n">
        <v>0</v>
      </c>
      <c r="N44" s="20" t="n">
        <v>0</v>
      </c>
      <c r="O44" s="18" t="n">
        <v>0</v>
      </c>
      <c r="P44" s="20" t="n">
        <v>0</v>
      </c>
      <c r="Q44" s="18" t="n">
        <v>64.28866412000001</v>
      </c>
      <c r="R44" s="20" t="n">
        <v>2.46891342</v>
      </c>
    </row>
    <row r="45" spans="1:18">
      <c r="A45" s="15" t="s">
        <v>387</v>
      </c>
      <c r="B45" s="17" t="n">
        <v>2849</v>
      </c>
      <c r="C45" s="18">
        <f>(2380.0/B45*100)</f>
        <v/>
      </c>
      <c r="D45" s="19" t="n">
        <v>469</v>
      </c>
      <c r="E45" s="18" t="n">
        <v>18.22153625</v>
      </c>
      <c r="F45" s="20" t="n">
        <v>1.77445831</v>
      </c>
      <c r="G45" s="18" t="n">
        <v>5.76039571</v>
      </c>
      <c r="H45" s="20" t="n">
        <v>1.20230212</v>
      </c>
      <c r="I45" s="18" t="s">
        <v>349</v>
      </c>
      <c r="J45" s="20" t="s">
        <v>349</v>
      </c>
      <c r="K45" s="18" t="n">
        <v>9.743337800000001</v>
      </c>
      <c r="L45" s="20" t="n">
        <v>1.53196416</v>
      </c>
      <c r="M45" s="18" t="n">
        <v>0</v>
      </c>
      <c r="N45" s="20" t="n">
        <v>0</v>
      </c>
      <c r="O45" s="18" t="n">
        <v>0</v>
      </c>
      <c r="P45" s="20" t="n">
        <v>0</v>
      </c>
      <c r="Q45" s="18" t="n">
        <v>66.27473025</v>
      </c>
      <c r="R45" s="20" t="n">
        <v>2.61301193</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30.12443264</v>
      </c>
      <c r="F49" s="20" t="n">
        <v>2.61161285</v>
      </c>
      <c r="G49" s="18" t="n">
        <v>17.06054503</v>
      </c>
      <c r="H49" s="20" t="n">
        <v>2.24093108</v>
      </c>
      <c r="I49" s="18" t="s">
        <v>349</v>
      </c>
      <c r="J49" s="20" t="s">
        <v>349</v>
      </c>
      <c r="K49" s="18" t="n">
        <v>4.7772592</v>
      </c>
      <c r="L49" s="20" t="n">
        <v>0.98065555</v>
      </c>
      <c r="M49" s="18" t="n">
        <v>0</v>
      </c>
      <c r="N49" s="20" t="n">
        <v>0</v>
      </c>
      <c r="O49" s="18" t="n">
        <v>0</v>
      </c>
      <c r="P49" s="20" t="n">
        <v>0</v>
      </c>
      <c r="Q49" s="18" t="n">
        <v>48.03776313</v>
      </c>
      <c r="R49" s="20" t="n">
        <v>3.25826142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29.16551881</v>
      </c>
      <c r="F55" s="20" t="n">
        <v>2.49522802</v>
      </c>
      <c r="G55" s="18" t="n">
        <v>16.64149426</v>
      </c>
      <c r="H55" s="20" t="n">
        <v>2.04273373</v>
      </c>
      <c r="I55" s="18" t="s">
        <v>349</v>
      </c>
      <c r="J55" s="20" t="s">
        <v>349</v>
      </c>
      <c r="K55" s="18" t="n">
        <v>2.46630583</v>
      </c>
      <c r="L55" s="20" t="n">
        <v>0.70769513</v>
      </c>
      <c r="M55" s="18" t="n">
        <v>0</v>
      </c>
      <c r="N55" s="20" t="n">
        <v>0</v>
      </c>
      <c r="O55" s="18" t="n">
        <v>0.18359528</v>
      </c>
      <c r="P55" s="20" t="n">
        <v>0.18310266</v>
      </c>
      <c r="Q55" s="18" t="n">
        <v>51.54308582</v>
      </c>
      <c r="R55" s="20" t="n">
        <v>2.95783243</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64.15831867</v>
      </c>
      <c r="F57" s="20" t="n">
        <v>2.28207743</v>
      </c>
      <c r="G57" s="18" t="n">
        <v>6.8856579</v>
      </c>
      <c r="H57" s="20" t="n">
        <v>1.13428283</v>
      </c>
      <c r="I57" s="18" t="s">
        <v>349</v>
      </c>
      <c r="J57" s="20" t="s">
        <v>349</v>
      </c>
      <c r="K57" s="18" t="n">
        <v>0.6705997</v>
      </c>
      <c r="L57" s="20" t="n">
        <v>0.34945894</v>
      </c>
      <c r="M57" s="18" t="n">
        <v>0.23268736</v>
      </c>
      <c r="N57" s="20" t="n">
        <v>0.22090366</v>
      </c>
      <c r="O57" s="18" t="n">
        <v>0</v>
      </c>
      <c r="P57" s="20" t="n">
        <v>0</v>
      </c>
      <c r="Q57" s="18" t="n">
        <v>28.05273637</v>
      </c>
      <c r="R57" s="20" t="n">
        <v>2.20657736</v>
      </c>
    </row>
    <row r="58" spans="1:18">
      <c r="A58" s="15" t="s">
        <v>400</v>
      </c>
      <c r="B58" s="17" t="n">
        <v>3530</v>
      </c>
      <c r="C58" s="18">
        <f>(2948.0/B58*100)</f>
        <v/>
      </c>
      <c r="D58" s="19" t="n">
        <v>582</v>
      </c>
      <c r="E58" s="18" t="n">
        <v>41.2861552</v>
      </c>
      <c r="F58" s="20" t="n">
        <v>2.72353987</v>
      </c>
      <c r="G58" s="18" t="n">
        <v>10.3802251</v>
      </c>
      <c r="H58" s="20" t="n">
        <v>1.00992983</v>
      </c>
      <c r="I58" s="18" t="s">
        <v>349</v>
      </c>
      <c r="J58" s="20" t="s">
        <v>349</v>
      </c>
      <c r="K58" s="18" t="n">
        <v>7.56524747</v>
      </c>
      <c r="L58" s="20" t="n">
        <v>1.54016201</v>
      </c>
      <c r="M58" s="18" t="n">
        <v>0</v>
      </c>
      <c r="N58" s="20" t="n">
        <v>0</v>
      </c>
      <c r="O58" s="18" t="n">
        <v>0.14927458</v>
      </c>
      <c r="P58" s="20" t="n">
        <v>0.14922494</v>
      </c>
      <c r="Q58" s="18" t="n">
        <v>40.61909766</v>
      </c>
      <c r="R58" s="20" t="n">
        <v>2.59589959</v>
      </c>
    </row>
    <row r="59" spans="1:18">
      <c r="A59" s="15" t="s">
        <v>401</v>
      </c>
      <c r="B59" s="17" t="n">
        <v>2548</v>
      </c>
      <c r="C59" s="18">
        <f>(2128.0/B59*100)</f>
        <v/>
      </c>
      <c r="D59" s="19" t="n">
        <v>420</v>
      </c>
      <c r="E59" s="18" t="n">
        <v>30.93801195</v>
      </c>
      <c r="F59" s="20" t="n">
        <v>2.76445248</v>
      </c>
      <c r="G59" s="18" t="n">
        <v>8.37063843</v>
      </c>
      <c r="H59" s="20" t="n">
        <v>1.67139145</v>
      </c>
      <c r="I59" s="18" t="s">
        <v>349</v>
      </c>
      <c r="J59" s="20" t="s">
        <v>349</v>
      </c>
      <c r="K59" s="18" t="n">
        <v>0.69844121</v>
      </c>
      <c r="L59" s="20" t="n">
        <v>0.33563768</v>
      </c>
      <c r="M59" s="18" t="n">
        <v>0</v>
      </c>
      <c r="N59" s="20" t="n">
        <v>0</v>
      </c>
      <c r="O59" s="18" t="n">
        <v>0</v>
      </c>
      <c r="P59" s="20" t="n">
        <v>0</v>
      </c>
      <c r="Q59" s="18" t="n">
        <v>59.99290842</v>
      </c>
      <c r="R59" s="20" t="n">
        <v>2.97024108</v>
      </c>
    </row>
    <row r="60" spans="1:18">
      <c r="A60" s="15" t="s">
        <v>402</v>
      </c>
      <c r="B60" s="17" t="n">
        <v>2095</v>
      </c>
      <c r="C60" s="18">
        <f>(1746.0/B60*100)</f>
        <v/>
      </c>
      <c r="D60" s="19" t="n">
        <v>349</v>
      </c>
      <c r="E60" s="18" t="n">
        <v>25.18542786</v>
      </c>
      <c r="F60" s="20" t="n">
        <v>2.42704248</v>
      </c>
      <c r="G60" s="18" t="n">
        <v>15.79748181</v>
      </c>
      <c r="H60" s="20" t="n">
        <v>2.0826779</v>
      </c>
      <c r="I60" s="18" t="s">
        <v>349</v>
      </c>
      <c r="J60" s="20" t="s">
        <v>349</v>
      </c>
      <c r="K60" s="18" t="n">
        <v>6.96809468</v>
      </c>
      <c r="L60" s="20" t="n">
        <v>1.87712774</v>
      </c>
      <c r="M60" s="18" t="n">
        <v>0</v>
      </c>
      <c r="N60" s="20" t="n">
        <v>0</v>
      </c>
      <c r="O60" s="18" t="n">
        <v>0</v>
      </c>
      <c r="P60" s="20" t="n">
        <v>0</v>
      </c>
      <c r="Q60" s="18" t="n">
        <v>52.04899565</v>
      </c>
      <c r="R60" s="20" t="n">
        <v>2.90769396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15.90835108</v>
      </c>
      <c r="F63" s="20" t="n">
        <v>2.13936742</v>
      </c>
      <c r="G63" s="18" t="n">
        <v>4.63816782</v>
      </c>
      <c r="H63" s="20" t="n">
        <v>1.03217597</v>
      </c>
      <c r="I63" s="18" t="s">
        <v>349</v>
      </c>
      <c r="J63" s="20" t="s">
        <v>349</v>
      </c>
      <c r="K63" s="18" t="n">
        <v>3.63237927</v>
      </c>
      <c r="L63" s="20" t="n">
        <v>0.93017542</v>
      </c>
      <c r="M63" s="18" t="n">
        <v>0</v>
      </c>
      <c r="N63" s="20" t="n">
        <v>0</v>
      </c>
      <c r="O63" s="18" t="n">
        <v>0</v>
      </c>
      <c r="P63" s="20" t="n">
        <v>0</v>
      </c>
      <c r="Q63" s="18" t="n">
        <v>75.82110184</v>
      </c>
      <c r="R63" s="20" t="n">
        <v>2.38172562</v>
      </c>
    </row>
    <row r="64" spans="1:18">
      <c r="A64" s="15" t="s">
        <v>406</v>
      </c>
      <c r="B64" s="17" t="n">
        <v>1844</v>
      </c>
      <c r="C64" s="18">
        <f>(1537.0/B64*100)</f>
        <v/>
      </c>
      <c r="D64" s="19" t="n">
        <v>307</v>
      </c>
      <c r="E64" s="18" t="n">
        <v>32.72742696</v>
      </c>
      <c r="F64" s="20" t="n">
        <v>2.88027608</v>
      </c>
      <c r="G64" s="18" t="n">
        <v>30.37838468</v>
      </c>
      <c r="H64" s="20" t="n">
        <v>2.31784011</v>
      </c>
      <c r="I64" s="18" t="s">
        <v>349</v>
      </c>
      <c r="J64" s="20" t="s">
        <v>349</v>
      </c>
      <c r="K64" s="18" t="n">
        <v>1.32322562</v>
      </c>
      <c r="L64" s="20" t="n">
        <v>0.6557021</v>
      </c>
      <c r="M64" s="18" t="n">
        <v>0</v>
      </c>
      <c r="N64" s="20" t="n">
        <v>0</v>
      </c>
      <c r="O64" s="18" t="n">
        <v>0</v>
      </c>
      <c r="P64" s="20" t="n">
        <v>0</v>
      </c>
      <c r="Q64" s="18" t="n">
        <v>35.57096273</v>
      </c>
      <c r="R64" s="20" t="n">
        <v>2.77450955</v>
      </c>
    </row>
    <row r="65" spans="1:18">
      <c r="A65" s="15" t="s">
        <v>407</v>
      </c>
      <c r="B65" s="17" t="n">
        <v>2691</v>
      </c>
      <c r="C65" s="18">
        <f>(2252.0/B65*100)</f>
        <v/>
      </c>
      <c r="D65" s="19" t="n">
        <v>439</v>
      </c>
      <c r="E65" s="18" t="n">
        <v>33.82373962</v>
      </c>
      <c r="F65" s="20" t="n">
        <v>2.57403514</v>
      </c>
      <c r="G65" s="18" t="n">
        <v>11.88028899</v>
      </c>
      <c r="H65" s="20" t="n">
        <v>1.58515135</v>
      </c>
      <c r="I65" s="18" t="s">
        <v>349</v>
      </c>
      <c r="J65" s="20" t="s">
        <v>349</v>
      </c>
      <c r="K65" s="18" t="n">
        <v>6.01660322</v>
      </c>
      <c r="L65" s="20" t="n">
        <v>1.20063181</v>
      </c>
      <c r="M65" s="18" t="n">
        <v>0</v>
      </c>
      <c r="N65" s="20" t="n">
        <v>0</v>
      </c>
      <c r="O65" s="18" t="n">
        <v>0</v>
      </c>
      <c r="P65" s="20" t="n">
        <v>0</v>
      </c>
      <c r="Q65" s="18" t="n">
        <v>48.27936817</v>
      </c>
      <c r="R65" s="20" t="n">
        <v>2.57712156</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74.66179808</v>
      </c>
      <c r="F69" s="20" t="n">
        <v>2.34107812</v>
      </c>
      <c r="G69" s="18" t="n">
        <v>24.63041199</v>
      </c>
      <c r="H69" s="20" t="n">
        <v>2.27482654</v>
      </c>
      <c r="I69" s="18" t="s">
        <v>349</v>
      </c>
      <c r="J69" s="20" t="s">
        <v>349</v>
      </c>
      <c r="K69" s="18" t="n">
        <v>0</v>
      </c>
      <c r="L69" s="20" t="n">
        <v>0</v>
      </c>
      <c r="M69" s="18" t="n">
        <v>0</v>
      </c>
      <c r="N69" s="20" t="n">
        <v>0</v>
      </c>
      <c r="O69" s="18" t="n">
        <v>0</v>
      </c>
      <c r="P69" s="20" t="n">
        <v>0</v>
      </c>
      <c r="Q69" s="18" t="n">
        <v>0.70778993</v>
      </c>
      <c r="R69" s="20" t="n">
        <v>0.41257337</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18.87729004</v>
      </c>
      <c r="F74" s="20" t="n">
        <v>1.85461032</v>
      </c>
      <c r="G74" s="18" t="n">
        <v>16.4079189</v>
      </c>
      <c r="H74" s="20" t="n">
        <v>2.28236659</v>
      </c>
      <c r="I74" s="18" t="s">
        <v>349</v>
      </c>
      <c r="J74" s="20" t="s">
        <v>349</v>
      </c>
      <c r="K74" s="18" t="n">
        <v>9.199857270000001</v>
      </c>
      <c r="L74" s="20" t="n">
        <v>1.62596172</v>
      </c>
      <c r="M74" s="18" t="n">
        <v>0</v>
      </c>
      <c r="N74" s="20" t="n">
        <v>0</v>
      </c>
      <c r="O74" s="18" t="n">
        <v>0</v>
      </c>
      <c r="P74" s="20" t="n">
        <v>0</v>
      </c>
      <c r="Q74" s="18" t="n">
        <v>55.51493379</v>
      </c>
      <c r="R74" s="20" t="n">
        <v>2.69856927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55.59776412</v>
      </c>
      <c r="F78" s="20" t="n">
        <v>2.84668223</v>
      </c>
      <c r="G78" s="18" t="n">
        <v>28.78161352</v>
      </c>
      <c r="H78" s="20" t="n">
        <v>2.34208957</v>
      </c>
      <c r="I78" s="18" t="s">
        <v>349</v>
      </c>
      <c r="J78" s="20" t="s">
        <v>349</v>
      </c>
      <c r="K78" s="18" t="n">
        <v>0</v>
      </c>
      <c r="L78" s="20" t="n">
        <v>0</v>
      </c>
      <c r="M78" s="18" t="n">
        <v>0</v>
      </c>
      <c r="N78" s="20" t="n">
        <v>0</v>
      </c>
      <c r="O78" s="18" t="n">
        <v>0</v>
      </c>
      <c r="P78" s="20" t="n">
        <v>0</v>
      </c>
      <c r="Q78" s="18" t="n">
        <v>15.62062235</v>
      </c>
      <c r="R78" s="20" t="n">
        <v>2.06386051</v>
      </c>
    </row>
    <row customHeight="1" ht="25" r="79" spans="1:18">
      <c r="A79" s="15" t="s">
        <v>421</v>
      </c>
      <c r="B79" s="17" t="n">
        <v>787</v>
      </c>
      <c r="C79" s="18">
        <f>(656.0/B79*100)</f>
        <v/>
      </c>
      <c r="D79" s="19" t="n">
        <v>131</v>
      </c>
      <c r="E79" s="18" t="n">
        <v>33.70065504</v>
      </c>
      <c r="F79" s="20" t="n">
        <v>3.96528948</v>
      </c>
      <c r="G79" s="18" t="n">
        <v>23.43826601</v>
      </c>
      <c r="H79" s="20" t="n">
        <v>3.23724554</v>
      </c>
      <c r="I79" s="18" t="s">
        <v>349</v>
      </c>
      <c r="J79" s="20" t="s">
        <v>349</v>
      </c>
      <c r="K79" s="18" t="n">
        <v>4.43091273</v>
      </c>
      <c r="L79" s="20" t="n">
        <v>2.499322</v>
      </c>
      <c r="M79" s="18" t="n">
        <v>0</v>
      </c>
      <c r="N79" s="20" t="n">
        <v>0</v>
      </c>
      <c r="O79" s="18" t="n">
        <v>0</v>
      </c>
      <c r="P79" s="20" t="n">
        <v>0</v>
      </c>
      <c r="Q79" s="18" t="n">
        <v>38.43016622</v>
      </c>
      <c r="R79" s="20" t="n">
        <v>4.96858319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22.93267115</v>
      </c>
      <c r="F44" s="20" t="n">
        <v>2.01657621</v>
      </c>
      <c r="G44" s="18" t="n">
        <v>28.15963844</v>
      </c>
      <c r="H44" s="20" t="n">
        <v>2.83897538</v>
      </c>
      <c r="I44" s="18" t="s">
        <v>349</v>
      </c>
      <c r="J44" s="20" t="s">
        <v>349</v>
      </c>
      <c r="K44" s="18" t="n">
        <v>5.7309206</v>
      </c>
      <c r="L44" s="20" t="n">
        <v>1.0453594</v>
      </c>
      <c r="M44" s="18" t="n">
        <v>0</v>
      </c>
      <c r="N44" s="20" t="n">
        <v>0</v>
      </c>
      <c r="O44" s="18" t="n">
        <v>0</v>
      </c>
      <c r="P44" s="20" t="n">
        <v>0</v>
      </c>
      <c r="Q44" s="18" t="n">
        <v>43.17676981</v>
      </c>
      <c r="R44" s="20" t="n">
        <v>2.71838814</v>
      </c>
    </row>
    <row r="45" spans="1:18">
      <c r="A45" s="15" t="s">
        <v>387</v>
      </c>
      <c r="B45" s="17" t="n">
        <v>2849</v>
      </c>
      <c r="C45" s="18">
        <f>(2380.0/B45*100)</f>
        <v/>
      </c>
      <c r="D45" s="19" t="n">
        <v>469</v>
      </c>
      <c r="E45" s="18" t="n">
        <v>30.55339762</v>
      </c>
      <c r="F45" s="20" t="n">
        <v>2.22074094</v>
      </c>
      <c r="G45" s="18" t="n">
        <v>10.86480878</v>
      </c>
      <c r="H45" s="20" t="n">
        <v>1.48438482</v>
      </c>
      <c r="I45" s="18" t="s">
        <v>349</v>
      </c>
      <c r="J45" s="20" t="s">
        <v>349</v>
      </c>
      <c r="K45" s="18" t="n">
        <v>9.22530534</v>
      </c>
      <c r="L45" s="20" t="n">
        <v>1.50633706</v>
      </c>
      <c r="M45" s="18" t="n">
        <v>0</v>
      </c>
      <c r="N45" s="20" t="n">
        <v>0</v>
      </c>
      <c r="O45" s="18" t="n">
        <v>0.63595792</v>
      </c>
      <c r="P45" s="20" t="n">
        <v>0.33369094</v>
      </c>
      <c r="Q45" s="18" t="n">
        <v>48.72053035</v>
      </c>
      <c r="R45" s="20" t="n">
        <v>2.4701802</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24.23405293</v>
      </c>
      <c r="F49" s="20" t="n">
        <v>2.13069358</v>
      </c>
      <c r="G49" s="18" t="n">
        <v>29.91966563</v>
      </c>
      <c r="H49" s="20" t="n">
        <v>2.51204746</v>
      </c>
      <c r="I49" s="18" t="s">
        <v>349</v>
      </c>
      <c r="J49" s="20" t="s">
        <v>349</v>
      </c>
      <c r="K49" s="18" t="n">
        <v>4.52181899</v>
      </c>
      <c r="L49" s="20" t="n">
        <v>0.94883208</v>
      </c>
      <c r="M49" s="18" t="n">
        <v>0</v>
      </c>
      <c r="N49" s="20" t="n">
        <v>0</v>
      </c>
      <c r="O49" s="18" t="n">
        <v>0</v>
      </c>
      <c r="P49" s="20" t="n">
        <v>0</v>
      </c>
      <c r="Q49" s="18" t="n">
        <v>41.32446245</v>
      </c>
      <c r="R49" s="20" t="n">
        <v>2.76348247</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21.07381654</v>
      </c>
      <c r="F55" s="20" t="n">
        <v>2.40323112</v>
      </c>
      <c r="G55" s="18" t="n">
        <v>34.97439302</v>
      </c>
      <c r="H55" s="20" t="n">
        <v>2.5848609</v>
      </c>
      <c r="I55" s="18" t="s">
        <v>349</v>
      </c>
      <c r="J55" s="20" t="s">
        <v>349</v>
      </c>
      <c r="K55" s="18" t="n">
        <v>2.27764761</v>
      </c>
      <c r="L55" s="20" t="n">
        <v>0.68146648</v>
      </c>
      <c r="M55" s="18" t="n">
        <v>0</v>
      </c>
      <c r="N55" s="20" t="n">
        <v>0</v>
      </c>
      <c r="O55" s="18" t="n">
        <v>0.18359528</v>
      </c>
      <c r="P55" s="20" t="n">
        <v>0.18310266</v>
      </c>
      <c r="Q55" s="18" t="n">
        <v>41.49054755</v>
      </c>
      <c r="R55" s="20" t="n">
        <v>2.79398589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54.9310839</v>
      </c>
      <c r="F57" s="20" t="n">
        <v>2.90427482</v>
      </c>
      <c r="G57" s="18" t="n">
        <v>18.94152625</v>
      </c>
      <c r="H57" s="20" t="n">
        <v>2.24422648</v>
      </c>
      <c r="I57" s="18" t="s">
        <v>349</v>
      </c>
      <c r="J57" s="20" t="s">
        <v>349</v>
      </c>
      <c r="K57" s="18" t="n">
        <v>0.6705997</v>
      </c>
      <c r="L57" s="20" t="n">
        <v>0.34945894</v>
      </c>
      <c r="M57" s="18" t="n">
        <v>0</v>
      </c>
      <c r="N57" s="20" t="n">
        <v>0</v>
      </c>
      <c r="O57" s="18" t="n">
        <v>0</v>
      </c>
      <c r="P57" s="20" t="n">
        <v>0</v>
      </c>
      <c r="Q57" s="18" t="n">
        <v>25.45679015</v>
      </c>
      <c r="R57" s="20" t="n">
        <v>2.56956317</v>
      </c>
    </row>
    <row r="58" spans="1:18">
      <c r="A58" s="15" t="s">
        <v>400</v>
      </c>
      <c r="B58" s="17" t="n">
        <v>3530</v>
      </c>
      <c r="C58" s="18">
        <f>(2948.0/B58*100)</f>
        <v/>
      </c>
      <c r="D58" s="19" t="n">
        <v>582</v>
      </c>
      <c r="E58" s="18" t="n">
        <v>36.17605664</v>
      </c>
      <c r="F58" s="20" t="n">
        <v>2.05309781</v>
      </c>
      <c r="G58" s="18" t="n">
        <v>26.67166566</v>
      </c>
      <c r="H58" s="20" t="n">
        <v>2.03693242</v>
      </c>
      <c r="I58" s="18" t="s">
        <v>349</v>
      </c>
      <c r="J58" s="20" t="s">
        <v>349</v>
      </c>
      <c r="K58" s="18" t="n">
        <v>7.56524747</v>
      </c>
      <c r="L58" s="20" t="n">
        <v>1.54016201</v>
      </c>
      <c r="M58" s="18" t="n">
        <v>0</v>
      </c>
      <c r="N58" s="20" t="n">
        <v>0</v>
      </c>
      <c r="O58" s="18" t="n">
        <v>0</v>
      </c>
      <c r="P58" s="20" t="n">
        <v>0</v>
      </c>
      <c r="Q58" s="18" t="n">
        <v>29.58703022</v>
      </c>
      <c r="R58" s="20" t="n">
        <v>2.46575421</v>
      </c>
    </row>
    <row r="59" spans="1:18">
      <c r="A59" s="15" t="s">
        <v>401</v>
      </c>
      <c r="B59" s="17" t="n">
        <v>2548</v>
      </c>
      <c r="C59" s="18">
        <f>(2128.0/B59*100)</f>
        <v/>
      </c>
      <c r="D59" s="19" t="n">
        <v>420</v>
      </c>
      <c r="E59" s="18" t="n">
        <v>33.94030289</v>
      </c>
      <c r="F59" s="20" t="n">
        <v>2.96327101</v>
      </c>
      <c r="G59" s="18" t="n">
        <v>21.57052537</v>
      </c>
      <c r="H59" s="20" t="n">
        <v>2.56528241</v>
      </c>
      <c r="I59" s="18" t="s">
        <v>349</v>
      </c>
      <c r="J59" s="20" t="s">
        <v>349</v>
      </c>
      <c r="K59" s="18" t="n">
        <v>0.69844121</v>
      </c>
      <c r="L59" s="20" t="n">
        <v>0.33563768</v>
      </c>
      <c r="M59" s="18" t="n">
        <v>0</v>
      </c>
      <c r="N59" s="20" t="n">
        <v>0</v>
      </c>
      <c r="O59" s="18" t="n">
        <v>0</v>
      </c>
      <c r="P59" s="20" t="n">
        <v>0</v>
      </c>
      <c r="Q59" s="18" t="n">
        <v>43.79073053</v>
      </c>
      <c r="R59" s="20" t="n">
        <v>3.02047992</v>
      </c>
    </row>
    <row r="60" spans="1:18">
      <c r="A60" s="15" t="s">
        <v>402</v>
      </c>
      <c r="B60" s="17" t="n">
        <v>2095</v>
      </c>
      <c r="C60" s="18">
        <f>(1746.0/B60*100)</f>
        <v/>
      </c>
      <c r="D60" s="19" t="n">
        <v>349</v>
      </c>
      <c r="E60" s="18" t="n">
        <v>30.59000258</v>
      </c>
      <c r="F60" s="20" t="n">
        <v>2.78988294</v>
      </c>
      <c r="G60" s="18" t="n">
        <v>30.23053956</v>
      </c>
      <c r="H60" s="20" t="n">
        <v>3.02697415</v>
      </c>
      <c r="I60" s="18" t="s">
        <v>349</v>
      </c>
      <c r="J60" s="20" t="s">
        <v>349</v>
      </c>
      <c r="K60" s="18" t="n">
        <v>6.28412008</v>
      </c>
      <c r="L60" s="20" t="n">
        <v>1.47623851</v>
      </c>
      <c r="M60" s="18" t="n">
        <v>0</v>
      </c>
      <c r="N60" s="20" t="n">
        <v>0</v>
      </c>
      <c r="O60" s="18" t="n">
        <v>0</v>
      </c>
      <c r="P60" s="20" t="n">
        <v>0</v>
      </c>
      <c r="Q60" s="18" t="n">
        <v>32.89533778</v>
      </c>
      <c r="R60" s="20" t="n">
        <v>2.97111686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20.88129712</v>
      </c>
      <c r="F63" s="20" t="n">
        <v>2.28991449</v>
      </c>
      <c r="G63" s="18" t="n">
        <v>16.51738954</v>
      </c>
      <c r="H63" s="20" t="n">
        <v>1.83597685</v>
      </c>
      <c r="I63" s="18" t="s">
        <v>349</v>
      </c>
      <c r="J63" s="20" t="s">
        <v>349</v>
      </c>
      <c r="K63" s="18" t="n">
        <v>3.63237927</v>
      </c>
      <c r="L63" s="20" t="n">
        <v>0.93017542</v>
      </c>
      <c r="M63" s="18" t="n">
        <v>0</v>
      </c>
      <c r="N63" s="20" t="n">
        <v>0</v>
      </c>
      <c r="O63" s="18" t="n">
        <v>0</v>
      </c>
      <c r="P63" s="20" t="n">
        <v>0</v>
      </c>
      <c r="Q63" s="18" t="n">
        <v>58.96893407</v>
      </c>
      <c r="R63" s="20" t="n">
        <v>2.68042966</v>
      </c>
    </row>
    <row r="64" spans="1:18">
      <c r="A64" s="15" t="s">
        <v>406</v>
      </c>
      <c r="B64" s="17" t="n">
        <v>1844</v>
      </c>
      <c r="C64" s="18">
        <f>(1537.0/B64*100)</f>
        <v/>
      </c>
      <c r="D64" s="19" t="n">
        <v>307</v>
      </c>
      <c r="E64" s="18" t="n">
        <v>21.20371926</v>
      </c>
      <c r="F64" s="20" t="n">
        <v>2.26594321</v>
      </c>
      <c r="G64" s="18" t="n">
        <v>50.272632</v>
      </c>
      <c r="H64" s="20" t="n">
        <v>2.61257619</v>
      </c>
      <c r="I64" s="18" t="s">
        <v>349</v>
      </c>
      <c r="J64" s="20" t="s">
        <v>349</v>
      </c>
      <c r="K64" s="18" t="n">
        <v>1.32322562</v>
      </c>
      <c r="L64" s="20" t="n">
        <v>0.6557021</v>
      </c>
      <c r="M64" s="18" t="n">
        <v>0</v>
      </c>
      <c r="N64" s="20" t="n">
        <v>0</v>
      </c>
      <c r="O64" s="18" t="n">
        <v>0</v>
      </c>
      <c r="P64" s="20" t="n">
        <v>0</v>
      </c>
      <c r="Q64" s="18" t="n">
        <v>27.20042312</v>
      </c>
      <c r="R64" s="20" t="n">
        <v>2.49193128</v>
      </c>
    </row>
    <row r="65" spans="1:18">
      <c r="A65" s="15" t="s">
        <v>407</v>
      </c>
      <c r="B65" s="17" t="n">
        <v>2691</v>
      </c>
      <c r="C65" s="18">
        <f>(2252.0/B65*100)</f>
        <v/>
      </c>
      <c r="D65" s="19" t="n">
        <v>439</v>
      </c>
      <c r="E65" s="18" t="n">
        <v>19.56969958</v>
      </c>
      <c r="F65" s="20" t="n">
        <v>2.04014007</v>
      </c>
      <c r="G65" s="18" t="n">
        <v>32.27539401</v>
      </c>
      <c r="H65" s="20" t="n">
        <v>2.44062246</v>
      </c>
      <c r="I65" s="18" t="s">
        <v>349</v>
      </c>
      <c r="J65" s="20" t="s">
        <v>349</v>
      </c>
      <c r="K65" s="18" t="n">
        <v>5.61563942</v>
      </c>
      <c r="L65" s="20" t="n">
        <v>1.14560256</v>
      </c>
      <c r="M65" s="18" t="n">
        <v>0</v>
      </c>
      <c r="N65" s="20" t="n">
        <v>0</v>
      </c>
      <c r="O65" s="18" t="n">
        <v>0</v>
      </c>
      <c r="P65" s="20" t="n">
        <v>0</v>
      </c>
      <c r="Q65" s="18" t="n">
        <v>42.53926699</v>
      </c>
      <c r="R65" s="20" t="n">
        <v>2.64097863</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55.36152457</v>
      </c>
      <c r="F69" s="20" t="n">
        <v>2.77694903</v>
      </c>
      <c r="G69" s="18" t="n">
        <v>44.63847543</v>
      </c>
      <c r="H69" s="20" t="n">
        <v>2.77694903</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19.85949793</v>
      </c>
      <c r="F74" s="20" t="n">
        <v>2.00612387</v>
      </c>
      <c r="G74" s="18" t="n">
        <v>25.90900897</v>
      </c>
      <c r="H74" s="20" t="n">
        <v>2.55459624</v>
      </c>
      <c r="I74" s="18" t="s">
        <v>349</v>
      </c>
      <c r="J74" s="20" t="s">
        <v>349</v>
      </c>
      <c r="K74" s="18" t="n">
        <v>8.417361769999999</v>
      </c>
      <c r="L74" s="20" t="n">
        <v>1.50040323</v>
      </c>
      <c r="M74" s="18" t="n">
        <v>0</v>
      </c>
      <c r="N74" s="20" t="n">
        <v>0</v>
      </c>
      <c r="O74" s="18" t="n">
        <v>0</v>
      </c>
      <c r="P74" s="20" t="n">
        <v>0</v>
      </c>
      <c r="Q74" s="18" t="n">
        <v>45.81413133</v>
      </c>
      <c r="R74" s="20" t="n">
        <v>3.21781024</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33.6640866</v>
      </c>
      <c r="F78" s="20" t="n">
        <v>3.11998657</v>
      </c>
      <c r="G78" s="18" t="n">
        <v>60.42901005</v>
      </c>
      <c r="H78" s="20" t="n">
        <v>3.01056257</v>
      </c>
      <c r="I78" s="18" t="s">
        <v>349</v>
      </c>
      <c r="J78" s="20" t="s">
        <v>349</v>
      </c>
      <c r="K78" s="18" t="n">
        <v>0</v>
      </c>
      <c r="L78" s="20" t="n">
        <v>0</v>
      </c>
      <c r="M78" s="18" t="n">
        <v>0</v>
      </c>
      <c r="N78" s="20" t="n">
        <v>0</v>
      </c>
      <c r="O78" s="18" t="n">
        <v>0</v>
      </c>
      <c r="P78" s="20" t="n">
        <v>0</v>
      </c>
      <c r="Q78" s="18" t="n">
        <v>5.90690335</v>
      </c>
      <c r="R78" s="20" t="n">
        <v>1.36029449</v>
      </c>
    </row>
    <row customHeight="1" ht="25" r="79" spans="1:18">
      <c r="A79" s="15" t="s">
        <v>421</v>
      </c>
      <c r="B79" s="17" t="n">
        <v>787</v>
      </c>
      <c r="C79" s="18">
        <f>(656.0/B79*100)</f>
        <v/>
      </c>
      <c r="D79" s="19" t="n">
        <v>131</v>
      </c>
      <c r="E79" s="18" t="n">
        <v>23.56398877</v>
      </c>
      <c r="F79" s="20" t="n">
        <v>3.5800342</v>
      </c>
      <c r="G79" s="18" t="n">
        <v>39.59163338</v>
      </c>
      <c r="H79" s="20" t="n">
        <v>4.57663763</v>
      </c>
      <c r="I79" s="18" t="s">
        <v>349</v>
      </c>
      <c r="J79" s="20" t="s">
        <v>349</v>
      </c>
      <c r="K79" s="18" t="n">
        <v>4.43091273</v>
      </c>
      <c r="L79" s="20" t="n">
        <v>2.499322</v>
      </c>
      <c r="M79" s="18" t="n">
        <v>0</v>
      </c>
      <c r="N79" s="20" t="n">
        <v>0</v>
      </c>
      <c r="O79" s="18" t="n">
        <v>0</v>
      </c>
      <c r="P79" s="20" t="n">
        <v>0</v>
      </c>
      <c r="Q79" s="18" t="n">
        <v>32.41346513</v>
      </c>
      <c r="R79" s="20" t="n">
        <v>4.24322944</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35.41920985</v>
      </c>
      <c r="F44" s="20" t="n">
        <v>2.63401556</v>
      </c>
      <c r="G44" s="18" t="n">
        <v>11.79707604</v>
      </c>
      <c r="H44" s="20" t="n">
        <v>1.80991161</v>
      </c>
      <c r="I44" s="18" t="s">
        <v>349</v>
      </c>
      <c r="J44" s="20" t="s">
        <v>349</v>
      </c>
      <c r="K44" s="18" t="n">
        <v>6.93123676</v>
      </c>
      <c r="L44" s="20" t="n">
        <v>1.39310861</v>
      </c>
      <c r="M44" s="18" t="n">
        <v>0</v>
      </c>
      <c r="N44" s="20" t="n">
        <v>0</v>
      </c>
      <c r="O44" s="18" t="n">
        <v>0</v>
      </c>
      <c r="P44" s="20" t="n">
        <v>0</v>
      </c>
      <c r="Q44" s="18" t="n">
        <v>45.85247736</v>
      </c>
      <c r="R44" s="20" t="n">
        <v>2.8590485</v>
      </c>
    </row>
    <row r="45" spans="1:18">
      <c r="A45" s="15" t="s">
        <v>387</v>
      </c>
      <c r="B45" s="17" t="n">
        <v>2849</v>
      </c>
      <c r="C45" s="18">
        <f>(2380.0/B45*100)</f>
        <v/>
      </c>
      <c r="D45" s="19" t="n">
        <v>469</v>
      </c>
      <c r="E45" s="18" t="n">
        <v>45.96934293</v>
      </c>
      <c r="F45" s="20" t="n">
        <v>2.54020885</v>
      </c>
      <c r="G45" s="18" t="n">
        <v>7.96691585</v>
      </c>
      <c r="H45" s="20" t="n">
        <v>1.2439467</v>
      </c>
      <c r="I45" s="18" t="s">
        <v>349</v>
      </c>
      <c r="J45" s="20" t="s">
        <v>349</v>
      </c>
      <c r="K45" s="18" t="n">
        <v>10.00235522</v>
      </c>
      <c r="L45" s="20" t="n">
        <v>1.54775786</v>
      </c>
      <c r="M45" s="18" t="n">
        <v>0</v>
      </c>
      <c r="N45" s="20" t="n">
        <v>0</v>
      </c>
      <c r="O45" s="18" t="n">
        <v>0.79595472</v>
      </c>
      <c r="P45" s="20" t="n">
        <v>0.37332119</v>
      </c>
      <c r="Q45" s="18" t="n">
        <v>35.26543128</v>
      </c>
      <c r="R45" s="20" t="n">
        <v>2.26736403</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39.56807972</v>
      </c>
      <c r="F49" s="20" t="n">
        <v>2.74180512</v>
      </c>
      <c r="G49" s="18" t="n">
        <v>13.09023698</v>
      </c>
      <c r="H49" s="20" t="n">
        <v>1.9200106</v>
      </c>
      <c r="I49" s="18" t="s">
        <v>349</v>
      </c>
      <c r="J49" s="20" t="s">
        <v>349</v>
      </c>
      <c r="K49" s="18" t="n">
        <v>4.91107233</v>
      </c>
      <c r="L49" s="20" t="n">
        <v>0.9941143</v>
      </c>
      <c r="M49" s="18" t="n">
        <v>0</v>
      </c>
      <c r="N49" s="20" t="n">
        <v>0</v>
      </c>
      <c r="O49" s="18" t="n">
        <v>0</v>
      </c>
      <c r="P49" s="20" t="n">
        <v>0</v>
      </c>
      <c r="Q49" s="18" t="n">
        <v>42.43061098</v>
      </c>
      <c r="R49" s="20" t="n">
        <v>2.72985779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43.35376743</v>
      </c>
      <c r="F55" s="20" t="n">
        <v>2.63184727</v>
      </c>
      <c r="G55" s="18" t="n">
        <v>9.274763829999999</v>
      </c>
      <c r="H55" s="20" t="n">
        <v>1.55854236</v>
      </c>
      <c r="I55" s="18" t="s">
        <v>349</v>
      </c>
      <c r="J55" s="20" t="s">
        <v>349</v>
      </c>
      <c r="K55" s="18" t="n">
        <v>2.46630583</v>
      </c>
      <c r="L55" s="20" t="n">
        <v>0.70769513</v>
      </c>
      <c r="M55" s="18" t="n">
        <v>0</v>
      </c>
      <c r="N55" s="20" t="n">
        <v>0</v>
      </c>
      <c r="O55" s="18" t="n">
        <v>0</v>
      </c>
      <c r="P55" s="20" t="n">
        <v>0</v>
      </c>
      <c r="Q55" s="18" t="n">
        <v>44.90516291</v>
      </c>
      <c r="R55" s="20" t="n">
        <v>2.86206733</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77.43372289</v>
      </c>
      <c r="F57" s="20" t="n">
        <v>1.78629237</v>
      </c>
      <c r="G57" s="18" t="n">
        <v>11.55292174</v>
      </c>
      <c r="H57" s="20" t="n">
        <v>1.69508054</v>
      </c>
      <c r="I57" s="18" t="s">
        <v>349</v>
      </c>
      <c r="J57" s="20" t="s">
        <v>349</v>
      </c>
      <c r="K57" s="18" t="n">
        <v>0.84053955</v>
      </c>
      <c r="L57" s="20" t="n">
        <v>0.38937709</v>
      </c>
      <c r="M57" s="18" t="n">
        <v>0</v>
      </c>
      <c r="N57" s="20" t="n">
        <v>0</v>
      </c>
      <c r="O57" s="18" t="n">
        <v>0</v>
      </c>
      <c r="P57" s="20" t="n">
        <v>0</v>
      </c>
      <c r="Q57" s="18" t="n">
        <v>10.17281582</v>
      </c>
      <c r="R57" s="20" t="n">
        <v>1.40604897</v>
      </c>
    </row>
    <row r="58" spans="1:18">
      <c r="A58" s="15" t="s">
        <v>400</v>
      </c>
      <c r="B58" s="17" t="n">
        <v>3530</v>
      </c>
      <c r="C58" s="18">
        <f>(2948.0/B58*100)</f>
        <v/>
      </c>
      <c r="D58" s="19" t="n">
        <v>582</v>
      </c>
      <c r="E58" s="18" t="n">
        <v>57.72600193</v>
      </c>
      <c r="F58" s="20" t="n">
        <v>2.53409024</v>
      </c>
      <c r="G58" s="18" t="n">
        <v>12.43805894</v>
      </c>
      <c r="H58" s="20" t="n">
        <v>1.83030686</v>
      </c>
      <c r="I58" s="18" t="s">
        <v>349</v>
      </c>
      <c r="J58" s="20" t="s">
        <v>349</v>
      </c>
      <c r="K58" s="18" t="n">
        <v>7.62155744</v>
      </c>
      <c r="L58" s="20" t="n">
        <v>1.54520441</v>
      </c>
      <c r="M58" s="18" t="n">
        <v>0</v>
      </c>
      <c r="N58" s="20" t="n">
        <v>0</v>
      </c>
      <c r="O58" s="18" t="n">
        <v>0</v>
      </c>
      <c r="P58" s="20" t="n">
        <v>0</v>
      </c>
      <c r="Q58" s="18" t="n">
        <v>22.21438169</v>
      </c>
      <c r="R58" s="20" t="n">
        <v>2.12511409</v>
      </c>
    </row>
    <row r="59" spans="1:18">
      <c r="A59" s="15" t="s">
        <v>401</v>
      </c>
      <c r="B59" s="17" t="n">
        <v>2548</v>
      </c>
      <c r="C59" s="18">
        <f>(2128.0/B59*100)</f>
        <v/>
      </c>
      <c r="D59" s="19" t="n">
        <v>420</v>
      </c>
      <c r="E59" s="18" t="n">
        <v>62.39152836</v>
      </c>
      <c r="F59" s="20" t="n">
        <v>2.50016154</v>
      </c>
      <c r="G59" s="18" t="n">
        <v>6.27786763</v>
      </c>
      <c r="H59" s="20" t="n">
        <v>1.40267012</v>
      </c>
      <c r="I59" s="18" t="s">
        <v>349</v>
      </c>
      <c r="J59" s="20" t="s">
        <v>349</v>
      </c>
      <c r="K59" s="18" t="n">
        <v>0.69844121</v>
      </c>
      <c r="L59" s="20" t="n">
        <v>0.33563768</v>
      </c>
      <c r="M59" s="18" t="n">
        <v>0</v>
      </c>
      <c r="N59" s="20" t="n">
        <v>0</v>
      </c>
      <c r="O59" s="18" t="n">
        <v>0</v>
      </c>
      <c r="P59" s="20" t="n">
        <v>0</v>
      </c>
      <c r="Q59" s="18" t="n">
        <v>30.63216281</v>
      </c>
      <c r="R59" s="20" t="n">
        <v>2.41688903</v>
      </c>
    </row>
    <row r="60" spans="1:18">
      <c r="A60" s="15" t="s">
        <v>402</v>
      </c>
      <c r="B60" s="17" t="n">
        <v>2095</v>
      </c>
      <c r="C60" s="18">
        <f>(1746.0/B60*100)</f>
        <v/>
      </c>
      <c r="D60" s="19" t="n">
        <v>349</v>
      </c>
      <c r="E60" s="18" t="n">
        <v>37.80910011</v>
      </c>
      <c r="F60" s="20" t="n">
        <v>2.50808401</v>
      </c>
      <c r="G60" s="18" t="n">
        <v>19.12013985</v>
      </c>
      <c r="H60" s="20" t="n">
        <v>2.12749751</v>
      </c>
      <c r="I60" s="18" t="s">
        <v>349</v>
      </c>
      <c r="J60" s="20" t="s">
        <v>349</v>
      </c>
      <c r="K60" s="18" t="n">
        <v>7.09720181</v>
      </c>
      <c r="L60" s="20" t="n">
        <v>1.86615203</v>
      </c>
      <c r="M60" s="18" t="n">
        <v>0</v>
      </c>
      <c r="N60" s="20" t="n">
        <v>0</v>
      </c>
      <c r="O60" s="18" t="n">
        <v>0</v>
      </c>
      <c r="P60" s="20" t="n">
        <v>0</v>
      </c>
      <c r="Q60" s="18" t="n">
        <v>35.97355824</v>
      </c>
      <c r="R60" s="20" t="n">
        <v>2.14310667</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26.81544963</v>
      </c>
      <c r="F63" s="20" t="n">
        <v>2.18892261</v>
      </c>
      <c r="G63" s="18" t="n">
        <v>3.16720603</v>
      </c>
      <c r="H63" s="20" t="n">
        <v>0.9021244899999999</v>
      </c>
      <c r="I63" s="18" t="s">
        <v>349</v>
      </c>
      <c r="J63" s="20" t="s">
        <v>349</v>
      </c>
      <c r="K63" s="18" t="n">
        <v>3.63237927</v>
      </c>
      <c r="L63" s="20" t="n">
        <v>0.93017542</v>
      </c>
      <c r="M63" s="18" t="n">
        <v>0</v>
      </c>
      <c r="N63" s="20" t="n">
        <v>0</v>
      </c>
      <c r="O63" s="18" t="n">
        <v>0</v>
      </c>
      <c r="P63" s="20" t="n">
        <v>0</v>
      </c>
      <c r="Q63" s="18" t="n">
        <v>66.38496507000001</v>
      </c>
      <c r="R63" s="20" t="n">
        <v>2.24045364</v>
      </c>
    </row>
    <row r="64" spans="1:18">
      <c r="A64" s="15" t="s">
        <v>406</v>
      </c>
      <c r="B64" s="17" t="n">
        <v>1844</v>
      </c>
      <c r="C64" s="18">
        <f>(1537.0/B64*100)</f>
        <v/>
      </c>
      <c r="D64" s="19" t="n">
        <v>307</v>
      </c>
      <c r="E64" s="18" t="n">
        <v>44.89146052</v>
      </c>
      <c r="F64" s="20" t="n">
        <v>3.07174369</v>
      </c>
      <c r="G64" s="18" t="n">
        <v>18.96397144</v>
      </c>
      <c r="H64" s="20" t="n">
        <v>2.37749367</v>
      </c>
      <c r="I64" s="18" t="s">
        <v>349</v>
      </c>
      <c r="J64" s="20" t="s">
        <v>349</v>
      </c>
      <c r="K64" s="18" t="n">
        <v>1.73608338</v>
      </c>
      <c r="L64" s="20" t="n">
        <v>0.75852834</v>
      </c>
      <c r="M64" s="18" t="n">
        <v>0</v>
      </c>
      <c r="N64" s="20" t="n">
        <v>0</v>
      </c>
      <c r="O64" s="18" t="n">
        <v>0</v>
      </c>
      <c r="P64" s="20" t="n">
        <v>0</v>
      </c>
      <c r="Q64" s="18" t="n">
        <v>34.40848466</v>
      </c>
      <c r="R64" s="20" t="n">
        <v>2.95156921</v>
      </c>
    </row>
    <row r="65" spans="1:18">
      <c r="A65" s="15" t="s">
        <v>407</v>
      </c>
      <c r="B65" s="17" t="n">
        <v>2691</v>
      </c>
      <c r="C65" s="18">
        <f>(2252.0/B65*100)</f>
        <v/>
      </c>
      <c r="D65" s="19" t="n">
        <v>439</v>
      </c>
      <c r="E65" s="18" t="n">
        <v>39.5135473</v>
      </c>
      <c r="F65" s="20" t="n">
        <v>2.71101908</v>
      </c>
      <c r="G65" s="18" t="n">
        <v>14.1272717</v>
      </c>
      <c r="H65" s="20" t="n">
        <v>1.97523912</v>
      </c>
      <c r="I65" s="18" t="s">
        <v>349</v>
      </c>
      <c r="J65" s="20" t="s">
        <v>349</v>
      </c>
      <c r="K65" s="18" t="n">
        <v>6.7418638</v>
      </c>
      <c r="L65" s="20" t="n">
        <v>1.27194366</v>
      </c>
      <c r="M65" s="18" t="n">
        <v>0</v>
      </c>
      <c r="N65" s="20" t="n">
        <v>0</v>
      </c>
      <c r="O65" s="18" t="n">
        <v>0</v>
      </c>
      <c r="P65" s="20" t="n">
        <v>0</v>
      </c>
      <c r="Q65" s="18" t="n">
        <v>39.61731721</v>
      </c>
      <c r="R65" s="20" t="n">
        <v>2.76845676</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81.14630424000001</v>
      </c>
      <c r="F69" s="20" t="n">
        <v>2.11353146</v>
      </c>
      <c r="G69" s="18" t="n">
        <v>18.61485294</v>
      </c>
      <c r="H69" s="20" t="n">
        <v>2.12143035</v>
      </c>
      <c r="I69" s="18" t="s">
        <v>349</v>
      </c>
      <c r="J69" s="20" t="s">
        <v>349</v>
      </c>
      <c r="K69" s="18" t="n">
        <v>0</v>
      </c>
      <c r="L69" s="20" t="n">
        <v>0</v>
      </c>
      <c r="M69" s="18" t="n">
        <v>0</v>
      </c>
      <c r="N69" s="20" t="n">
        <v>0</v>
      </c>
      <c r="O69" s="18" t="n">
        <v>0</v>
      </c>
      <c r="P69" s="20" t="n">
        <v>0</v>
      </c>
      <c r="Q69" s="18" t="n">
        <v>0.23884282</v>
      </c>
      <c r="R69" s="20" t="n">
        <v>0.23967248</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33.7033214</v>
      </c>
      <c r="F74" s="20" t="n">
        <v>2.79867063</v>
      </c>
      <c r="G74" s="18" t="n">
        <v>9.247923399999999</v>
      </c>
      <c r="H74" s="20" t="n">
        <v>1.60447866</v>
      </c>
      <c r="I74" s="18" t="s">
        <v>349</v>
      </c>
      <c r="J74" s="20" t="s">
        <v>349</v>
      </c>
      <c r="K74" s="18" t="n">
        <v>9.199857270000001</v>
      </c>
      <c r="L74" s="20" t="n">
        <v>1.62596172</v>
      </c>
      <c r="M74" s="18" t="n">
        <v>0</v>
      </c>
      <c r="N74" s="20" t="n">
        <v>0</v>
      </c>
      <c r="O74" s="18" t="n">
        <v>0</v>
      </c>
      <c r="P74" s="20" t="n">
        <v>0</v>
      </c>
      <c r="Q74" s="18" t="n">
        <v>47.84889793</v>
      </c>
      <c r="R74" s="20" t="n">
        <v>2.95812592</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64.18030503999999</v>
      </c>
      <c r="F78" s="20" t="n">
        <v>2.83720042</v>
      </c>
      <c r="G78" s="18" t="n">
        <v>33.3237144</v>
      </c>
      <c r="H78" s="20" t="n">
        <v>2.71609743</v>
      </c>
      <c r="I78" s="18" t="s">
        <v>349</v>
      </c>
      <c r="J78" s="20" t="s">
        <v>349</v>
      </c>
      <c r="K78" s="18" t="n">
        <v>0</v>
      </c>
      <c r="L78" s="20" t="n">
        <v>0</v>
      </c>
      <c r="M78" s="18" t="n">
        <v>0</v>
      </c>
      <c r="N78" s="20" t="n">
        <v>0</v>
      </c>
      <c r="O78" s="18" t="n">
        <v>0</v>
      </c>
      <c r="P78" s="20" t="n">
        <v>0</v>
      </c>
      <c r="Q78" s="18" t="n">
        <v>2.49598056</v>
      </c>
      <c r="R78" s="20" t="n">
        <v>0.80775377</v>
      </c>
    </row>
    <row customHeight="1" ht="25" r="79" spans="1:18">
      <c r="A79" s="15" t="s">
        <v>421</v>
      </c>
      <c r="B79" s="17" t="n">
        <v>787</v>
      </c>
      <c r="C79" s="18">
        <f>(656.0/B79*100)</f>
        <v/>
      </c>
      <c r="D79" s="19" t="n">
        <v>131</v>
      </c>
      <c r="E79" s="18" t="n">
        <v>30.88088282</v>
      </c>
      <c r="F79" s="20" t="n">
        <v>4.89407015</v>
      </c>
      <c r="G79" s="18" t="n">
        <v>22.14760944</v>
      </c>
      <c r="H79" s="20" t="n">
        <v>3.24789435</v>
      </c>
      <c r="I79" s="18" t="s">
        <v>349</v>
      </c>
      <c r="J79" s="20" t="s">
        <v>349</v>
      </c>
      <c r="K79" s="18" t="n">
        <v>4.43091273</v>
      </c>
      <c r="L79" s="20" t="n">
        <v>2.499322</v>
      </c>
      <c r="M79" s="18" t="n">
        <v>0</v>
      </c>
      <c r="N79" s="20" t="n">
        <v>0</v>
      </c>
      <c r="O79" s="18" t="n">
        <v>0</v>
      </c>
      <c r="P79" s="20" t="n">
        <v>0</v>
      </c>
      <c r="Q79" s="18" t="n">
        <v>42.540595</v>
      </c>
      <c r="R79" s="20" t="n">
        <v>5.91510688</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67.4738677</v>
      </c>
      <c r="F44" s="20" t="n">
        <v>2.87864086</v>
      </c>
      <c r="G44" s="18" t="n">
        <v>8.967613200000001</v>
      </c>
      <c r="H44" s="20" t="n">
        <v>1.82264474</v>
      </c>
      <c r="I44" s="18" t="s">
        <v>349</v>
      </c>
      <c r="J44" s="20" t="s">
        <v>349</v>
      </c>
      <c r="K44" s="18" t="n">
        <v>7.27849164</v>
      </c>
      <c r="L44" s="20" t="n">
        <v>1.39887098</v>
      </c>
      <c r="M44" s="18" t="n">
        <v>0</v>
      </c>
      <c r="N44" s="20" t="n">
        <v>0</v>
      </c>
      <c r="O44" s="18" t="n">
        <v>0.76610713</v>
      </c>
      <c r="P44" s="20" t="n">
        <v>0.38912418</v>
      </c>
      <c r="Q44" s="18" t="n">
        <v>15.51392034</v>
      </c>
      <c r="R44" s="20" t="n">
        <v>2.20127135</v>
      </c>
    </row>
    <row r="45" spans="1:18">
      <c r="A45" s="15" t="s">
        <v>387</v>
      </c>
      <c r="B45" s="17" t="n">
        <v>2849</v>
      </c>
      <c r="C45" s="18">
        <f>(2380.0/B45*100)</f>
        <v/>
      </c>
      <c r="D45" s="19" t="n">
        <v>469</v>
      </c>
      <c r="E45" s="18" t="n">
        <v>72.70370721</v>
      </c>
      <c r="F45" s="20" t="n">
        <v>2.14020811</v>
      </c>
      <c r="G45" s="18" t="n">
        <v>3.47552359</v>
      </c>
      <c r="H45" s="20" t="n">
        <v>0.7642929899999999</v>
      </c>
      <c r="I45" s="18" t="s">
        <v>349</v>
      </c>
      <c r="J45" s="20" t="s">
        <v>349</v>
      </c>
      <c r="K45" s="18" t="n">
        <v>12.51034845</v>
      </c>
      <c r="L45" s="20" t="n">
        <v>1.61457628</v>
      </c>
      <c r="M45" s="18" t="n">
        <v>0</v>
      </c>
      <c r="N45" s="20" t="n">
        <v>0</v>
      </c>
      <c r="O45" s="18" t="n">
        <v>2.16704772</v>
      </c>
      <c r="P45" s="20" t="n">
        <v>0.62788908</v>
      </c>
      <c r="Q45" s="18" t="n">
        <v>9.143373029999999</v>
      </c>
      <c r="R45" s="20" t="n">
        <v>1.41735323</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73.037592</v>
      </c>
      <c r="F49" s="20" t="n">
        <v>2.31028327</v>
      </c>
      <c r="G49" s="18" t="n">
        <v>4.85830741</v>
      </c>
      <c r="H49" s="20" t="n">
        <v>1.24078593</v>
      </c>
      <c r="I49" s="18" t="s">
        <v>349</v>
      </c>
      <c r="J49" s="20" t="s">
        <v>349</v>
      </c>
      <c r="K49" s="18" t="n">
        <v>5.28361405</v>
      </c>
      <c r="L49" s="20" t="n">
        <v>1.08108691</v>
      </c>
      <c r="M49" s="18" t="n">
        <v>0.1409253</v>
      </c>
      <c r="N49" s="20" t="n">
        <v>0.13385419</v>
      </c>
      <c r="O49" s="18" t="n">
        <v>2.56182068</v>
      </c>
      <c r="P49" s="20" t="n">
        <v>0.75329637</v>
      </c>
      <c r="Q49" s="18" t="n">
        <v>14.11774056</v>
      </c>
      <c r="R49" s="20" t="n">
        <v>1.90559073</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67.56854297</v>
      </c>
      <c r="F55" s="20" t="n">
        <v>2.51641627</v>
      </c>
      <c r="G55" s="18" t="n">
        <v>9.736370880000001</v>
      </c>
      <c r="H55" s="20" t="n">
        <v>1.69130333</v>
      </c>
      <c r="I55" s="18" t="s">
        <v>349</v>
      </c>
      <c r="J55" s="20" t="s">
        <v>349</v>
      </c>
      <c r="K55" s="18" t="n">
        <v>2.46630583</v>
      </c>
      <c r="L55" s="20" t="n">
        <v>0.70769513</v>
      </c>
      <c r="M55" s="18" t="n">
        <v>0</v>
      </c>
      <c r="N55" s="20" t="n">
        <v>0</v>
      </c>
      <c r="O55" s="18" t="n">
        <v>2.22328973</v>
      </c>
      <c r="P55" s="20" t="n">
        <v>0.6483908</v>
      </c>
      <c r="Q55" s="18" t="n">
        <v>18.00549059</v>
      </c>
      <c r="R55" s="20" t="n">
        <v>1.90833073</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(2948.0/B58*100)</f>
        <v/>
      </c>
      <c r="D58" s="19" t="n">
        <v>582</v>
      </c>
      <c r="E58" s="18" t="n">
        <v>74.33467315</v>
      </c>
      <c r="F58" s="20" t="n">
        <v>2.08909679</v>
      </c>
      <c r="G58" s="18" t="n">
        <v>4.05806086</v>
      </c>
      <c r="H58" s="20" t="n">
        <v>0.98376701</v>
      </c>
      <c r="I58" s="18" t="s">
        <v>349</v>
      </c>
      <c r="J58" s="20" t="s">
        <v>349</v>
      </c>
      <c r="K58" s="18" t="n">
        <v>8.088478139999999</v>
      </c>
      <c r="L58" s="20" t="n">
        <v>1.60875802</v>
      </c>
      <c r="M58" s="18" t="n">
        <v>0</v>
      </c>
      <c r="N58" s="20" t="n">
        <v>0</v>
      </c>
      <c r="O58" s="18" t="n">
        <v>4.57251511</v>
      </c>
      <c r="P58" s="20" t="n">
        <v>1.02889701</v>
      </c>
      <c r="Q58" s="18" t="n">
        <v>8.94627274</v>
      </c>
      <c r="R58" s="20" t="n">
        <v>1.23149915</v>
      </c>
    </row>
    <row r="59" spans="1:18">
      <c r="A59" s="15" t="s">
        <v>401</v>
      </c>
      <c r="B59" s="17" t="n">
        <v>2548</v>
      </c>
      <c r="C59" s="18">
        <f>(2128.0/B59*100)</f>
        <v/>
      </c>
      <c r="D59" s="19" t="n">
        <v>420</v>
      </c>
      <c r="E59" s="18" t="n">
        <v>83.17043544000001</v>
      </c>
      <c r="F59" s="20" t="n">
        <v>2.13245944</v>
      </c>
      <c r="G59" s="18" t="n">
        <v>1.59827188</v>
      </c>
      <c r="H59" s="20" t="n">
        <v>0.79359293</v>
      </c>
      <c r="I59" s="18" t="s">
        <v>349</v>
      </c>
      <c r="J59" s="20" t="s">
        <v>349</v>
      </c>
      <c r="K59" s="18" t="n">
        <v>0.69844121</v>
      </c>
      <c r="L59" s="20" t="n">
        <v>0.33563768</v>
      </c>
      <c r="M59" s="18" t="n">
        <v>0</v>
      </c>
      <c r="N59" s="20" t="n">
        <v>0</v>
      </c>
      <c r="O59" s="18" t="n">
        <v>2.14273211</v>
      </c>
      <c r="P59" s="20" t="n">
        <v>0.7889494500000001</v>
      </c>
      <c r="Q59" s="18" t="n">
        <v>12.39011936</v>
      </c>
      <c r="R59" s="20" t="n">
        <v>1.91817408</v>
      </c>
    </row>
    <row r="60" spans="1:18">
      <c r="A60" s="15" t="s">
        <v>402</v>
      </c>
      <c r="B60" s="17" t="n">
        <v>2095</v>
      </c>
      <c r="C60" s="18">
        <f>(1746.0/B60*100)</f>
        <v/>
      </c>
      <c r="D60" s="19" t="n">
        <v>349</v>
      </c>
      <c r="E60" s="18" t="n">
        <v>48.56147872</v>
      </c>
      <c r="F60" s="20" t="n">
        <v>2.73596786</v>
      </c>
      <c r="G60" s="18" t="n">
        <v>8.124288780000001</v>
      </c>
      <c r="H60" s="20" t="n">
        <v>1.54518338</v>
      </c>
      <c r="I60" s="18" t="s">
        <v>349</v>
      </c>
      <c r="J60" s="20" t="s">
        <v>349</v>
      </c>
      <c r="K60" s="18" t="n">
        <v>7.27860013</v>
      </c>
      <c r="L60" s="20" t="n">
        <v>1.86964333</v>
      </c>
      <c r="M60" s="18" t="n">
        <v>6.28209089</v>
      </c>
      <c r="N60" s="20" t="n">
        <v>1.3362506</v>
      </c>
      <c r="O60" s="18" t="n">
        <v>9.399821620000001</v>
      </c>
      <c r="P60" s="20" t="n">
        <v>1.82417799</v>
      </c>
      <c r="Q60" s="18" t="n">
        <v>20.35371986</v>
      </c>
      <c r="R60" s="20" t="n">
        <v>2.10015642</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65.90937305999999</v>
      </c>
      <c r="F63" s="20" t="n">
        <v>2.28089681</v>
      </c>
      <c r="G63" s="18" t="n">
        <v>3.81187546</v>
      </c>
      <c r="H63" s="20" t="n">
        <v>0.89594143</v>
      </c>
      <c r="I63" s="18" t="s">
        <v>349</v>
      </c>
      <c r="J63" s="20" t="s">
        <v>349</v>
      </c>
      <c r="K63" s="18" t="n">
        <v>3.63237927</v>
      </c>
      <c r="L63" s="20" t="n">
        <v>0.93017542</v>
      </c>
      <c r="M63" s="18" t="n">
        <v>0</v>
      </c>
      <c r="N63" s="20" t="n">
        <v>0</v>
      </c>
      <c r="O63" s="18" t="n">
        <v>0.84436515</v>
      </c>
      <c r="P63" s="20" t="n">
        <v>0.44591037</v>
      </c>
      <c r="Q63" s="18" t="n">
        <v>25.80200706</v>
      </c>
      <c r="R63" s="20" t="n">
        <v>1.96818625</v>
      </c>
    </row>
    <row r="64" spans="1:18">
      <c r="A64" s="15" t="s">
        <v>406</v>
      </c>
      <c r="B64" s="17" t="n">
        <v>1844</v>
      </c>
      <c r="C64" s="18">
        <f>(1537.0/B64*100)</f>
        <v/>
      </c>
      <c r="D64" s="19" t="n">
        <v>307</v>
      </c>
      <c r="E64" s="18" t="n">
        <v>58.25624407</v>
      </c>
      <c r="F64" s="20" t="n">
        <v>2.79271094</v>
      </c>
      <c r="G64" s="18" t="n">
        <v>26.20776169</v>
      </c>
      <c r="H64" s="20" t="n">
        <v>2.59666301</v>
      </c>
      <c r="I64" s="18" t="s">
        <v>349</v>
      </c>
      <c r="J64" s="20" t="s">
        <v>349</v>
      </c>
      <c r="K64" s="18" t="n">
        <v>1.73608338</v>
      </c>
      <c r="L64" s="20" t="n">
        <v>0.75852834</v>
      </c>
      <c r="M64" s="18" t="n">
        <v>0</v>
      </c>
      <c r="N64" s="20" t="n">
        <v>0</v>
      </c>
      <c r="O64" s="18" t="n">
        <v>2.28166389</v>
      </c>
      <c r="P64" s="20" t="n">
        <v>0.86497203</v>
      </c>
      <c r="Q64" s="18" t="n">
        <v>11.51824696</v>
      </c>
      <c r="R64" s="20" t="n">
        <v>1.80219511</v>
      </c>
    </row>
    <row r="65" spans="1:18">
      <c r="A65" s="15" t="s">
        <v>407</v>
      </c>
      <c r="B65" s="17" t="n">
        <v>2691</v>
      </c>
      <c r="C65" s="18">
        <f>(2252.0/B65*100)</f>
        <v/>
      </c>
      <c r="D65" s="19" t="n">
        <v>439</v>
      </c>
      <c r="E65" s="18" t="n">
        <v>50.77941695</v>
      </c>
      <c r="F65" s="20" t="n">
        <v>2.79886387</v>
      </c>
      <c r="G65" s="18" t="n">
        <v>6.82895713</v>
      </c>
      <c r="H65" s="20" t="n">
        <v>1.37644322</v>
      </c>
      <c r="I65" s="18" t="s">
        <v>349</v>
      </c>
      <c r="J65" s="20" t="s">
        <v>349</v>
      </c>
      <c r="K65" s="18" t="n">
        <v>6.7418638</v>
      </c>
      <c r="L65" s="20" t="n">
        <v>1.27194366</v>
      </c>
      <c r="M65" s="18" t="n">
        <v>15.4545453</v>
      </c>
      <c r="N65" s="20" t="n">
        <v>1.65380068</v>
      </c>
      <c r="O65" s="18" t="n">
        <v>0.54608098</v>
      </c>
      <c r="P65" s="20" t="n">
        <v>0.38062717</v>
      </c>
      <c r="Q65" s="18" t="n">
        <v>19.64913585</v>
      </c>
      <c r="R65" s="20" t="n">
        <v>2.20428041</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87.91593919</v>
      </c>
      <c r="F69" s="20" t="n">
        <v>1.66928662</v>
      </c>
      <c r="G69" s="18" t="n">
        <v>7.81633732</v>
      </c>
      <c r="H69" s="20" t="n">
        <v>1.35650536</v>
      </c>
      <c r="I69" s="18" t="s">
        <v>349</v>
      </c>
      <c r="J69" s="20" t="s">
        <v>349</v>
      </c>
      <c r="K69" s="18" t="n">
        <v>0</v>
      </c>
      <c r="L69" s="20" t="n">
        <v>0</v>
      </c>
      <c r="M69" s="18" t="n">
        <v>0</v>
      </c>
      <c r="N69" s="20" t="n">
        <v>0</v>
      </c>
      <c r="O69" s="18" t="n">
        <v>0</v>
      </c>
      <c r="P69" s="20" t="n">
        <v>0</v>
      </c>
      <c r="Q69" s="18" t="n">
        <v>4.26772349</v>
      </c>
      <c r="R69" s="20" t="n">
        <v>0.96323113</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65.57881503999999</v>
      </c>
      <c r="F74" s="20" t="n">
        <v>2.69301543</v>
      </c>
      <c r="G74" s="18" t="n">
        <v>5.87372728</v>
      </c>
      <c r="H74" s="20" t="n">
        <v>1.32957238</v>
      </c>
      <c r="I74" s="18" t="s">
        <v>349</v>
      </c>
      <c r="J74" s="20" t="s">
        <v>349</v>
      </c>
      <c r="K74" s="18" t="n">
        <v>9.822814749999999</v>
      </c>
      <c r="L74" s="20" t="n">
        <v>1.69585786</v>
      </c>
      <c r="M74" s="18" t="n">
        <v>0</v>
      </c>
      <c r="N74" s="20" t="n">
        <v>0</v>
      </c>
      <c r="O74" s="18" t="n">
        <v>2.37683327</v>
      </c>
      <c r="P74" s="20" t="n">
        <v>0.77836174</v>
      </c>
      <c r="Q74" s="18" t="n">
        <v>16.34780965</v>
      </c>
      <c r="R74" s="20" t="n">
        <v>1.93238961</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78.93598686999999</v>
      </c>
      <c r="F78" s="20" t="n">
        <v>2.01525812</v>
      </c>
      <c r="G78" s="18" t="n">
        <v>18.50260616</v>
      </c>
      <c r="H78" s="20" t="n">
        <v>1.96801002</v>
      </c>
      <c r="I78" s="18" t="s">
        <v>349</v>
      </c>
      <c r="J78" s="20" t="s">
        <v>349</v>
      </c>
      <c r="K78" s="18" t="n">
        <v>0</v>
      </c>
      <c r="L78" s="20" t="n">
        <v>0</v>
      </c>
      <c r="M78" s="18" t="n">
        <v>0.22773659</v>
      </c>
      <c r="N78" s="20" t="n">
        <v>0.22791943</v>
      </c>
      <c r="O78" s="18" t="n">
        <v>1.49392318</v>
      </c>
      <c r="P78" s="20" t="n">
        <v>0.84223774</v>
      </c>
      <c r="Q78" s="18" t="n">
        <v>0.83974719</v>
      </c>
      <c r="R78" s="20" t="n">
        <v>0.46646129</v>
      </c>
    </row>
    <row customHeight="1" ht="25" r="79" spans="1:18">
      <c r="A79" s="15" t="s">
        <v>421</v>
      </c>
      <c r="B79" s="17" t="n">
        <v>787</v>
      </c>
      <c r="C79" s="18">
        <f>(656.0/B79*100)</f>
        <v/>
      </c>
      <c r="D79" s="19" t="n">
        <v>131</v>
      </c>
      <c r="E79" s="18" t="n">
        <v>62.7639418</v>
      </c>
      <c r="F79" s="20" t="n">
        <v>3.7715162</v>
      </c>
      <c r="G79" s="18" t="n">
        <v>10.57028411</v>
      </c>
      <c r="H79" s="20" t="n">
        <v>2.63172764</v>
      </c>
      <c r="I79" s="18" t="s">
        <v>349</v>
      </c>
      <c r="J79" s="20" t="s">
        <v>349</v>
      </c>
      <c r="K79" s="18" t="n">
        <v>4.80392943</v>
      </c>
      <c r="L79" s="20" t="n">
        <v>2.54165086</v>
      </c>
      <c r="M79" s="18" t="n">
        <v>0</v>
      </c>
      <c r="N79" s="20" t="n">
        <v>0</v>
      </c>
      <c r="O79" s="18" t="n">
        <v>2.6069124</v>
      </c>
      <c r="P79" s="20" t="n">
        <v>1.40634514</v>
      </c>
      <c r="Q79" s="18" t="n">
        <v>19.25493226</v>
      </c>
      <c r="R79" s="20" t="n">
        <v>3.95733372</v>
      </c>
    </row>
    <row r="80" spans="1:18">
      <c r="A80" s="15" t="s">
        <v>422</v>
      </c>
      <c r="B80" s="17" t="n">
        <v>3798</v>
      </c>
      <c r="C80" s="18">
        <f>(3177.0/B80*100)</f>
        <v/>
      </c>
      <c r="D80" s="19" t="n">
        <v>621</v>
      </c>
      <c r="E80" s="18" t="n">
        <v>68.19344133</v>
      </c>
      <c r="F80" s="20" t="n">
        <v>2.99701115</v>
      </c>
      <c r="G80" s="18" t="n">
        <v>30.77138093</v>
      </c>
      <c r="H80" s="20" t="n">
        <v>3.06286584</v>
      </c>
      <c r="I80" s="18" t="s">
        <v>349</v>
      </c>
      <c r="J80" s="20" t="s">
        <v>349</v>
      </c>
      <c r="K80" s="18" t="n">
        <v>0</v>
      </c>
      <c r="L80" s="20" t="n">
        <v>0</v>
      </c>
      <c r="M80" s="18" t="n">
        <v>0</v>
      </c>
      <c r="N80" s="20" t="n">
        <v>0</v>
      </c>
      <c r="O80" s="18" t="n">
        <v>0</v>
      </c>
      <c r="P80" s="20" t="n">
        <v>0</v>
      </c>
      <c r="Q80" s="18" t="n">
        <v>1.03517774</v>
      </c>
      <c r="R80" s="20" t="n">
        <v>0.46925598</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(2106.0/B44*100)</f>
        <v/>
      </c>
      <c r="D44" s="19" t="n">
        <v>418</v>
      </c>
      <c r="E44" s="18" t="n">
        <v>10.47481239</v>
      </c>
      <c r="F44" s="20" t="n">
        <v>1.8044404</v>
      </c>
      <c r="G44" s="18" t="n">
        <v>78.65153896</v>
      </c>
      <c r="H44" s="20" t="n">
        <v>2.22249387</v>
      </c>
      <c r="I44" s="18" t="s">
        <v>349</v>
      </c>
      <c r="J44" s="20" t="s">
        <v>349</v>
      </c>
      <c r="K44" s="18" t="n">
        <v>10.11992741</v>
      </c>
      <c r="L44" s="20" t="n">
        <v>1.57717637</v>
      </c>
      <c r="M44" s="18" t="n">
        <v>0</v>
      </c>
      <c r="N44" s="20" t="n">
        <v>0</v>
      </c>
      <c r="O44" s="18" t="n">
        <v>0.75372124</v>
      </c>
      <c r="P44" s="20" t="n">
        <v>0.39477208</v>
      </c>
      <c r="Q44" s="18" t="n">
        <v>0</v>
      </c>
      <c r="R44" s="20" t="n">
        <v>0</v>
      </c>
    </row>
    <row r="45" spans="1:18">
      <c r="A45" s="15" t="s">
        <v>387</v>
      </c>
      <c r="B45" s="17" t="n">
        <v>2849</v>
      </c>
      <c r="C45" s="18">
        <f>(2380.0/B45*100)</f>
        <v/>
      </c>
      <c r="D45" s="19" t="n">
        <v>469</v>
      </c>
      <c r="E45" s="18" t="n">
        <v>0</v>
      </c>
      <c r="F45" s="20" t="n">
        <v>0</v>
      </c>
      <c r="G45" s="18" t="n">
        <v>0</v>
      </c>
      <c r="H45" s="20" t="n">
        <v>0</v>
      </c>
      <c r="I45" s="18" t="s">
        <v>349</v>
      </c>
      <c r="J45" s="20" t="s">
        <v>349</v>
      </c>
      <c r="K45" s="18" t="n">
        <v>0</v>
      </c>
      <c r="L45" s="20" t="n">
        <v>0</v>
      </c>
      <c r="M45" s="18" t="n">
        <v>100</v>
      </c>
      <c r="N45" s="20" t="n">
        <v>0</v>
      </c>
      <c r="O45" s="18" t="n">
        <v>0</v>
      </c>
      <c r="P45" s="20" t="n">
        <v>0</v>
      </c>
      <c r="Q45" s="18" t="n">
        <v>0</v>
      </c>
      <c r="R45" s="20" t="n">
        <v>0</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(2512.0/B49*100)</f>
        <v/>
      </c>
      <c r="D49" s="19" t="n">
        <v>506</v>
      </c>
      <c r="E49" s="18" t="n">
        <v>6.38562019</v>
      </c>
      <c r="F49" s="20" t="n">
        <v>1.22888824</v>
      </c>
      <c r="G49" s="18" t="n">
        <v>87.79713357999999</v>
      </c>
      <c r="H49" s="20" t="n">
        <v>1.73615452</v>
      </c>
      <c r="I49" s="18" t="s">
        <v>349</v>
      </c>
      <c r="J49" s="20" t="s">
        <v>349</v>
      </c>
      <c r="K49" s="18" t="n">
        <v>5.81724623</v>
      </c>
      <c r="L49" s="20" t="n">
        <v>1.14726158</v>
      </c>
      <c r="M49" s="18" t="n">
        <v>0</v>
      </c>
      <c r="N49" s="20" t="n">
        <v>0</v>
      </c>
      <c r="O49" s="18" t="n">
        <v>0</v>
      </c>
      <c r="P49" s="20" t="n">
        <v>0</v>
      </c>
      <c r="Q49" s="18" t="n">
        <v>0</v>
      </c>
      <c r="R49" s="20" t="n">
        <v>0</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(2309.0/B55*100)</f>
        <v/>
      </c>
      <c r="D55" s="19" t="n">
        <v>450</v>
      </c>
      <c r="E55" s="18" t="n">
        <v>14.69103736</v>
      </c>
      <c r="F55" s="20" t="n">
        <v>1.97657159</v>
      </c>
      <c r="G55" s="18" t="n">
        <v>82.43962070000001</v>
      </c>
      <c r="H55" s="20" t="n">
        <v>2.15012562</v>
      </c>
      <c r="I55" s="18" t="s">
        <v>349</v>
      </c>
      <c r="J55" s="20" t="s">
        <v>349</v>
      </c>
      <c r="K55" s="18" t="n">
        <v>2.86934194</v>
      </c>
      <c r="L55" s="20" t="n">
        <v>0.7671245</v>
      </c>
      <c r="M55" s="18" t="n">
        <v>0</v>
      </c>
      <c r="N55" s="20" t="n">
        <v>0</v>
      </c>
      <c r="O55" s="18" t="n">
        <v>0</v>
      </c>
      <c r="P55" s="20" t="n">
        <v>0</v>
      </c>
      <c r="Q55" s="18" t="n">
        <v>0</v>
      </c>
      <c r="R55" s="20" t="n">
        <v>0</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(2643.0/B57*100)</f>
        <v/>
      </c>
      <c r="D57" s="19" t="n">
        <v>527</v>
      </c>
      <c r="E57" s="18" t="n">
        <v>14.37215498</v>
      </c>
      <c r="F57" s="20" t="n">
        <v>1.61731215</v>
      </c>
      <c r="G57" s="18" t="n">
        <v>82.1005284</v>
      </c>
      <c r="H57" s="20" t="n">
        <v>1.76011724</v>
      </c>
      <c r="I57" s="18" t="s">
        <v>349</v>
      </c>
      <c r="J57" s="20" t="s">
        <v>349</v>
      </c>
      <c r="K57" s="18" t="n">
        <v>3.29462926</v>
      </c>
      <c r="L57" s="20" t="n">
        <v>0.8493204</v>
      </c>
      <c r="M57" s="18" t="n">
        <v>0.23268736</v>
      </c>
      <c r="N57" s="20" t="n">
        <v>0.22090366</v>
      </c>
      <c r="O57" s="18" t="n">
        <v>0</v>
      </c>
      <c r="P57" s="20" t="n">
        <v>0</v>
      </c>
      <c r="Q57" s="18" t="n">
        <v>0</v>
      </c>
      <c r="R57" s="20" t="n">
        <v>0</v>
      </c>
    </row>
    <row r="58" spans="1:18">
      <c r="A58" s="15" t="s">
        <v>400</v>
      </c>
      <c r="B58" s="17" t="n">
        <v>3530</v>
      </c>
      <c r="C58" s="18">
        <f>(2948.0/B58*100)</f>
        <v/>
      </c>
      <c r="D58" s="19" t="n">
        <v>582</v>
      </c>
      <c r="E58" s="18" t="n">
        <v>22.17217777</v>
      </c>
      <c r="F58" s="20" t="n">
        <v>2.06590886</v>
      </c>
      <c r="G58" s="18" t="n">
        <v>66.19881540999999</v>
      </c>
      <c r="H58" s="20" t="n">
        <v>2.08730821</v>
      </c>
      <c r="I58" s="18" t="s">
        <v>349</v>
      </c>
      <c r="J58" s="20" t="s">
        <v>349</v>
      </c>
      <c r="K58" s="18" t="n">
        <v>11.25533843</v>
      </c>
      <c r="L58" s="20" t="n">
        <v>1.9795322</v>
      </c>
      <c r="M58" s="18" t="n">
        <v>0</v>
      </c>
      <c r="N58" s="20" t="n">
        <v>0</v>
      </c>
      <c r="O58" s="18" t="n">
        <v>0.37366839</v>
      </c>
      <c r="P58" s="20" t="n">
        <v>0.22472776</v>
      </c>
      <c r="Q58" s="18" t="n">
        <v>0</v>
      </c>
      <c r="R58" s="20" t="n">
        <v>0</v>
      </c>
    </row>
    <row r="59" spans="1:18">
      <c r="A59" s="15" t="s">
        <v>401</v>
      </c>
      <c r="B59" s="17" t="n">
        <v>2548</v>
      </c>
      <c r="C59" s="18">
        <f>(2128.0/B59*100)</f>
        <v/>
      </c>
      <c r="D59" s="19" t="n">
        <v>420</v>
      </c>
      <c r="E59" s="18" t="n">
        <v>18.63400528</v>
      </c>
      <c r="F59" s="20" t="n">
        <v>2.21953169</v>
      </c>
      <c r="G59" s="18" t="n">
        <v>80.59284775</v>
      </c>
      <c r="H59" s="20" t="n">
        <v>2.23370133</v>
      </c>
      <c r="I59" s="18" t="s">
        <v>349</v>
      </c>
      <c r="J59" s="20" t="s">
        <v>349</v>
      </c>
      <c r="K59" s="18" t="n">
        <v>0.77314696</v>
      </c>
      <c r="L59" s="20" t="n">
        <v>0.34330208</v>
      </c>
      <c r="M59" s="18" t="n">
        <v>0</v>
      </c>
      <c r="N59" s="20" t="n">
        <v>0</v>
      </c>
      <c r="O59" s="18" t="n">
        <v>0</v>
      </c>
      <c r="P59" s="20" t="n">
        <v>0</v>
      </c>
      <c r="Q59" s="18" t="n">
        <v>0</v>
      </c>
      <c r="R59" s="20" t="n">
        <v>0</v>
      </c>
    </row>
    <row r="60" spans="1:18">
      <c r="A60" s="15" t="s">
        <v>402</v>
      </c>
      <c r="B60" s="17" t="n">
        <v>2095</v>
      </c>
      <c r="C60" s="18">
        <f>(1746.0/B60*100)</f>
        <v/>
      </c>
      <c r="D60" s="19" t="n">
        <v>349</v>
      </c>
      <c r="E60" s="18" t="n">
        <v>16.98524486</v>
      </c>
      <c r="F60" s="20" t="n">
        <v>2.14607944</v>
      </c>
      <c r="G60" s="18" t="n">
        <v>72.75945494</v>
      </c>
      <c r="H60" s="20" t="n">
        <v>2.66374768</v>
      </c>
      <c r="I60" s="18" t="s">
        <v>349</v>
      </c>
      <c r="J60" s="20" t="s">
        <v>349</v>
      </c>
      <c r="K60" s="18" t="n">
        <v>8.494543569999999</v>
      </c>
      <c r="L60" s="20" t="n">
        <v>1.92673992</v>
      </c>
      <c r="M60" s="18" t="n">
        <v>0</v>
      </c>
      <c r="N60" s="20" t="n">
        <v>0</v>
      </c>
      <c r="O60" s="18" t="n">
        <v>1.76075663</v>
      </c>
      <c r="P60" s="20" t="n">
        <v>0.77020847</v>
      </c>
      <c r="Q60" s="18" t="n">
        <v>0</v>
      </c>
      <c r="R60" s="20" t="n">
        <v>0</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(2344.0/B63*100)</f>
        <v/>
      </c>
      <c r="D63" s="19" t="n">
        <v>469</v>
      </c>
      <c r="E63" s="18" t="n">
        <v>19.32671009</v>
      </c>
      <c r="F63" s="20" t="n">
        <v>1.62128401</v>
      </c>
      <c r="G63" s="18" t="n">
        <v>74.66489514</v>
      </c>
      <c r="H63" s="20" t="n">
        <v>1.96254023</v>
      </c>
      <c r="I63" s="18" t="s">
        <v>349</v>
      </c>
      <c r="J63" s="20" t="s">
        <v>349</v>
      </c>
      <c r="K63" s="18" t="n">
        <v>5.83908507</v>
      </c>
      <c r="L63" s="20" t="n">
        <v>1.18302526</v>
      </c>
      <c r="M63" s="18" t="n">
        <v>0</v>
      </c>
      <c r="N63" s="20" t="n">
        <v>0</v>
      </c>
      <c r="O63" s="18" t="n">
        <v>0.1693097</v>
      </c>
      <c r="P63" s="20" t="n">
        <v>0.16897332</v>
      </c>
      <c r="Q63" s="18" t="n">
        <v>0</v>
      </c>
      <c r="R63" s="20" t="n">
        <v>0</v>
      </c>
    </row>
    <row r="64" spans="1:18">
      <c r="A64" s="15" t="s">
        <v>406</v>
      </c>
      <c r="B64" s="17" t="n">
        <v>1844</v>
      </c>
      <c r="C64" s="18">
        <f>(1537.0/B64*100)</f>
        <v/>
      </c>
      <c r="D64" s="19" t="n">
        <v>307</v>
      </c>
      <c r="E64" s="18" t="n">
        <v>17.49044909</v>
      </c>
      <c r="F64" s="20" t="n">
        <v>2.40784621</v>
      </c>
      <c r="G64" s="18" t="n">
        <v>78.6537237</v>
      </c>
      <c r="H64" s="20" t="n">
        <v>2.76739905</v>
      </c>
      <c r="I64" s="18" t="s">
        <v>349</v>
      </c>
      <c r="J64" s="20" t="s">
        <v>349</v>
      </c>
      <c r="K64" s="18" t="n">
        <v>2.85151494</v>
      </c>
      <c r="L64" s="20" t="n">
        <v>0.97542827</v>
      </c>
      <c r="M64" s="18" t="n">
        <v>0</v>
      </c>
      <c r="N64" s="20" t="n">
        <v>0</v>
      </c>
      <c r="O64" s="18" t="n">
        <v>1.00431227</v>
      </c>
      <c r="P64" s="20" t="n">
        <v>0.58067898</v>
      </c>
      <c r="Q64" s="18" t="n">
        <v>0</v>
      </c>
      <c r="R64" s="20" t="n">
        <v>0</v>
      </c>
    </row>
    <row r="65" spans="1:18">
      <c r="A65" s="15" t="s">
        <v>407</v>
      </c>
      <c r="B65" s="17" t="n">
        <v>2691</v>
      </c>
      <c r="C65" s="18">
        <f>(2252.0/B65*100)</f>
        <v/>
      </c>
      <c r="D65" s="19" t="n">
        <v>439</v>
      </c>
      <c r="E65" s="18" t="n">
        <v>11.52075201</v>
      </c>
      <c r="F65" s="20" t="n">
        <v>1.94263137</v>
      </c>
      <c r="G65" s="18" t="n">
        <v>79.89497317</v>
      </c>
      <c r="H65" s="20" t="n">
        <v>2.26940488</v>
      </c>
      <c r="I65" s="18" t="s">
        <v>349</v>
      </c>
      <c r="J65" s="20" t="s">
        <v>349</v>
      </c>
      <c r="K65" s="18" t="n">
        <v>8.20351215</v>
      </c>
      <c r="L65" s="20" t="n">
        <v>1.38725529</v>
      </c>
      <c r="M65" s="18" t="n">
        <v>0.38076266</v>
      </c>
      <c r="N65" s="20" t="n">
        <v>0.37982929</v>
      </c>
      <c r="O65" s="18" t="n">
        <v>0</v>
      </c>
      <c r="P65" s="20" t="n">
        <v>0</v>
      </c>
      <c r="Q65" s="18" t="n">
        <v>0</v>
      </c>
      <c r="R65" s="20" t="n">
        <v>0</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(2003.0/B69*100)</f>
        <v/>
      </c>
      <c r="D69" s="19" t="n">
        <v>407</v>
      </c>
      <c r="E69" s="18" t="n">
        <v>15.49234781</v>
      </c>
      <c r="F69" s="20" t="n">
        <v>1.7466323</v>
      </c>
      <c r="G69" s="18" t="n">
        <v>84.50765219</v>
      </c>
      <c r="H69" s="20" t="n">
        <v>1.7466323</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(1878.0/B74*100)</f>
        <v/>
      </c>
      <c r="D74" s="19" t="n">
        <v>361</v>
      </c>
      <c r="E74" s="18" t="n">
        <v>11.49817816</v>
      </c>
      <c r="F74" s="20" t="n">
        <v>2.07685039</v>
      </c>
      <c r="G74" s="18" t="n">
        <v>76.75043348</v>
      </c>
      <c r="H74" s="20" t="n">
        <v>2.56877438</v>
      </c>
      <c r="I74" s="18" t="s">
        <v>349</v>
      </c>
      <c r="J74" s="20" t="s">
        <v>349</v>
      </c>
      <c r="K74" s="18" t="n">
        <v>11.75138836</v>
      </c>
      <c r="L74" s="20" t="n">
        <v>1.82339844</v>
      </c>
      <c r="M74" s="18" t="n">
        <v>0</v>
      </c>
      <c r="N74" s="20" t="n">
        <v>0</v>
      </c>
      <c r="O74" s="18" t="n">
        <v>0</v>
      </c>
      <c r="P74" s="20" t="n">
        <v>0</v>
      </c>
      <c r="Q74" s="18" t="n">
        <v>0</v>
      </c>
      <c r="R74" s="20" t="n">
        <v>0</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4.25774035</v>
      </c>
      <c r="F78" s="20" t="n">
        <v>0.88980725</v>
      </c>
      <c r="G78" s="18" t="n">
        <v>95.74225964999999</v>
      </c>
      <c r="H78" s="20" t="n">
        <v>0.88980725</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(656.0/B79*100)</f>
        <v/>
      </c>
      <c r="D79" s="19" t="n">
        <v>131</v>
      </c>
      <c r="E79" s="18" t="n">
        <v>4.33063842</v>
      </c>
      <c r="F79" s="20" t="n">
        <v>1.54054955</v>
      </c>
      <c r="G79" s="18" t="n">
        <v>90.86543215</v>
      </c>
      <c r="H79" s="20" t="n">
        <v>2.99896855</v>
      </c>
      <c r="I79" s="18" t="s">
        <v>349</v>
      </c>
      <c r="J79" s="20" t="s">
        <v>349</v>
      </c>
      <c r="K79" s="18" t="n">
        <v>4.80392943</v>
      </c>
      <c r="L79" s="20" t="n">
        <v>2.54165086</v>
      </c>
      <c r="M79" s="18" t="n">
        <v>0</v>
      </c>
      <c r="N79" s="20" t="n">
        <v>0</v>
      </c>
      <c r="O79" s="18" t="n">
        <v>0</v>
      </c>
      <c r="P79" s="20" t="n">
        <v>0</v>
      </c>
      <c r="Q79" s="18" t="n">
        <v>0</v>
      </c>
      <c r="R79" s="20" t="n">
        <v>0</v>
      </c>
    </row>
    <row r="80" spans="1:18">
      <c r="A80" s="15" t="s">
        <v>422</v>
      </c>
      <c r="B80" s="17" t="n">
        <v>3798</v>
      </c>
      <c r="C80" s="18">
        <f>(3177.0/B80*100)</f>
        <v/>
      </c>
      <c r="D80" s="19" t="n">
        <v>621</v>
      </c>
      <c r="E80" s="18" t="n">
        <v>11.09301774</v>
      </c>
      <c r="F80" s="20" t="n">
        <v>1.73395349</v>
      </c>
      <c r="G80" s="18" t="n">
        <v>88.67560417</v>
      </c>
      <c r="H80" s="20" t="n">
        <v>1.73154523</v>
      </c>
      <c r="I80" s="18" t="s">
        <v>349</v>
      </c>
      <c r="J80" s="20" t="s">
        <v>349</v>
      </c>
      <c r="K80" s="18" t="n">
        <v>0.2313781</v>
      </c>
      <c r="L80" s="20" t="n">
        <v>0.16242379</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25.3704636</v>
      </c>
      <c r="F44" s="20" t="n">
        <v>2.32866725</v>
      </c>
      <c r="G44" s="18" t="n">
        <v>67.73168785</v>
      </c>
      <c r="H44" s="20" t="n">
        <v>2.20336951</v>
      </c>
      <c r="I44" s="18" t="s">
        <v>349</v>
      </c>
      <c r="J44" s="20" t="s">
        <v>349</v>
      </c>
      <c r="K44" s="18" t="n">
        <v>0.97141686</v>
      </c>
      <c r="L44" s="20" t="n">
        <v>0.48673454</v>
      </c>
      <c r="M44" s="18" t="n">
        <v>0</v>
      </c>
      <c r="N44" s="20" t="n">
        <v>0</v>
      </c>
      <c r="O44" s="18" t="n">
        <v>0</v>
      </c>
      <c r="P44" s="20" t="n">
        <v>0</v>
      </c>
      <c r="Q44" s="18" t="n">
        <v>5.92643169</v>
      </c>
      <c r="R44" s="20" t="n">
        <v>1.52829009</v>
      </c>
    </row>
    <row r="45" spans="1:18">
      <c r="A45" s="15" t="s">
        <v>387</v>
      </c>
      <c r="B45" s="17" t="n">
        <v>2849</v>
      </c>
      <c r="C45" s="18">
        <f>(2347.0/B45*100)</f>
        <v/>
      </c>
      <c r="D45" s="19" t="n">
        <v>502</v>
      </c>
      <c r="E45" s="18" t="n">
        <v>26.51782425</v>
      </c>
      <c r="F45" s="20" t="n">
        <v>2.4705614</v>
      </c>
      <c r="G45" s="18" t="n">
        <v>64.92124285</v>
      </c>
      <c r="H45" s="20" t="n">
        <v>2.38045002</v>
      </c>
      <c r="I45" s="18" t="s">
        <v>349</v>
      </c>
      <c r="J45" s="20" t="s">
        <v>349</v>
      </c>
      <c r="K45" s="18" t="n">
        <v>3.58040418</v>
      </c>
      <c r="L45" s="20" t="n">
        <v>0.97447226</v>
      </c>
      <c r="M45" s="18" t="n">
        <v>0</v>
      </c>
      <c r="N45" s="20" t="n">
        <v>0</v>
      </c>
      <c r="O45" s="18" t="n">
        <v>0.09538815</v>
      </c>
      <c r="P45" s="20" t="n">
        <v>0.08503273</v>
      </c>
      <c r="Q45" s="18" t="n">
        <v>4.88514057</v>
      </c>
      <c r="R45" s="20" t="n">
        <v>0.96260284</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15.76565291</v>
      </c>
      <c r="F49" s="20" t="n">
        <v>1.83904167</v>
      </c>
      <c r="G49" s="18" t="n">
        <v>78.51703532000001</v>
      </c>
      <c r="H49" s="20" t="n">
        <v>2.19527492</v>
      </c>
      <c r="I49" s="18" t="s">
        <v>349</v>
      </c>
      <c r="J49" s="20" t="s">
        <v>349</v>
      </c>
      <c r="K49" s="18" t="n">
        <v>0.96933135</v>
      </c>
      <c r="L49" s="20" t="n">
        <v>0.4740978</v>
      </c>
      <c r="M49" s="18" t="n">
        <v>0</v>
      </c>
      <c r="N49" s="20" t="n">
        <v>0</v>
      </c>
      <c r="O49" s="18" t="n">
        <v>0</v>
      </c>
      <c r="P49" s="20" t="n">
        <v>0</v>
      </c>
      <c r="Q49" s="18" t="n">
        <v>4.74798042</v>
      </c>
      <c r="R49" s="20" t="n">
        <v>1.02075265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20.79472982</v>
      </c>
      <c r="F55" s="20" t="n">
        <v>1.76677974</v>
      </c>
      <c r="G55" s="18" t="n">
        <v>65.58910476</v>
      </c>
      <c r="H55" s="20" t="n">
        <v>2.45312638</v>
      </c>
      <c r="I55" s="18" t="s">
        <v>349</v>
      </c>
      <c r="J55" s="20" t="s">
        <v>349</v>
      </c>
      <c r="K55" s="18" t="n">
        <v>1.2371976</v>
      </c>
      <c r="L55" s="20" t="n">
        <v>0.50182236</v>
      </c>
      <c r="M55" s="18" t="n">
        <v>0</v>
      </c>
      <c r="N55" s="20" t="n">
        <v>0</v>
      </c>
      <c r="O55" s="18" t="n">
        <v>0</v>
      </c>
      <c r="P55" s="20" t="n">
        <v>0</v>
      </c>
      <c r="Q55" s="18" t="n">
        <v>12.37896782</v>
      </c>
      <c r="R55" s="20" t="n">
        <v>1.73220408</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0</v>
      </c>
      <c r="F57" s="20" t="n">
        <v>0</v>
      </c>
      <c r="G57" s="18" t="n">
        <v>0</v>
      </c>
      <c r="H57" s="20" t="n">
        <v>0</v>
      </c>
      <c r="I57" s="18" t="s">
        <v>349</v>
      </c>
      <c r="J57" s="20" t="s">
        <v>349</v>
      </c>
      <c r="K57" s="18" t="n">
        <v>0</v>
      </c>
      <c r="L57" s="20" t="n">
        <v>0</v>
      </c>
      <c r="M57" s="18" t="n">
        <v>100</v>
      </c>
      <c r="N57" s="20" t="n">
        <v>0</v>
      </c>
      <c r="O57" s="18" t="n">
        <v>0</v>
      </c>
      <c r="P57" s="20" t="n">
        <v>0</v>
      </c>
      <c r="Q57" s="18" t="n">
        <v>0</v>
      </c>
      <c r="R57" s="20" t="n">
        <v>0</v>
      </c>
    </row>
    <row r="58" spans="1:18">
      <c r="A58" s="15" t="s">
        <v>400</v>
      </c>
      <c r="B58" s="17" t="n">
        <v>3530</v>
      </c>
      <c r="C58" s="18">
        <f>(2954.0/B58*100)</f>
        <v/>
      </c>
      <c r="D58" s="19" t="n">
        <v>576</v>
      </c>
      <c r="E58" s="18" t="n">
        <v>28.90082798</v>
      </c>
      <c r="F58" s="20" t="n">
        <v>2.23290121</v>
      </c>
      <c r="G58" s="18" t="n">
        <v>64.08460771999999</v>
      </c>
      <c r="H58" s="20" t="n">
        <v>2.44026414</v>
      </c>
      <c r="I58" s="18" t="s">
        <v>349</v>
      </c>
      <c r="J58" s="20" t="s">
        <v>349</v>
      </c>
      <c r="K58" s="18" t="n">
        <v>2.27905355</v>
      </c>
      <c r="L58" s="20" t="n">
        <v>0.77699071</v>
      </c>
      <c r="M58" s="18" t="n">
        <v>0</v>
      </c>
      <c r="N58" s="20" t="n">
        <v>0</v>
      </c>
      <c r="O58" s="18" t="n">
        <v>0</v>
      </c>
      <c r="P58" s="20" t="n">
        <v>0</v>
      </c>
      <c r="Q58" s="18" t="n">
        <v>4.73551075</v>
      </c>
      <c r="R58" s="20" t="n">
        <v>1.04778539</v>
      </c>
    </row>
    <row r="59" spans="1:18">
      <c r="A59" s="15" t="s">
        <v>401</v>
      </c>
      <c r="B59" s="17" t="n">
        <v>2548</v>
      </c>
      <c r="C59" s="18">
        <f>(2153.0/B59*100)</f>
        <v/>
      </c>
      <c r="D59" s="19" t="n">
        <v>395</v>
      </c>
      <c r="E59" s="18" t="n">
        <v>27.45963203</v>
      </c>
      <c r="F59" s="20" t="n">
        <v>2.89057304</v>
      </c>
      <c r="G59" s="18" t="n">
        <v>66.48513137</v>
      </c>
      <c r="H59" s="20" t="n">
        <v>2.89678845</v>
      </c>
      <c r="I59" s="18" t="s">
        <v>349</v>
      </c>
      <c r="J59" s="20" t="s">
        <v>349</v>
      </c>
      <c r="K59" s="18" t="n">
        <v>0.29228963</v>
      </c>
      <c r="L59" s="20" t="n">
        <v>0.21064204</v>
      </c>
      <c r="M59" s="18" t="n">
        <v>0</v>
      </c>
      <c r="N59" s="20" t="n">
        <v>0</v>
      </c>
      <c r="O59" s="18" t="n">
        <v>0</v>
      </c>
      <c r="P59" s="20" t="n">
        <v>0</v>
      </c>
      <c r="Q59" s="18" t="n">
        <v>5.76294698</v>
      </c>
      <c r="R59" s="20" t="n">
        <v>1.26272064</v>
      </c>
    </row>
    <row r="60" spans="1:18">
      <c r="A60" s="15" t="s">
        <v>402</v>
      </c>
      <c r="B60" s="17" t="n">
        <v>2095</v>
      </c>
      <c r="C60" s="18">
        <f>(1739.0/B60*100)</f>
        <v/>
      </c>
      <c r="D60" s="19" t="n">
        <v>356</v>
      </c>
      <c r="E60" s="18" t="n">
        <v>23.27727617</v>
      </c>
      <c r="F60" s="20" t="n">
        <v>2.45326835</v>
      </c>
      <c r="G60" s="18" t="n">
        <v>67.22717376999999</v>
      </c>
      <c r="H60" s="20" t="n">
        <v>2.78325</v>
      </c>
      <c r="I60" s="18" t="s">
        <v>349</v>
      </c>
      <c r="J60" s="20" t="s">
        <v>349</v>
      </c>
      <c r="K60" s="18" t="n">
        <v>1.38610423</v>
      </c>
      <c r="L60" s="20" t="n">
        <v>0.36134432</v>
      </c>
      <c r="M60" s="18" t="n">
        <v>0</v>
      </c>
      <c r="N60" s="20" t="n">
        <v>0</v>
      </c>
      <c r="O60" s="18" t="n">
        <v>0</v>
      </c>
      <c r="P60" s="20" t="n">
        <v>0</v>
      </c>
      <c r="Q60" s="18" t="n">
        <v>8.10944583</v>
      </c>
      <c r="R60" s="20" t="n">
        <v>2.17086855</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26.72880845</v>
      </c>
      <c r="F63" s="20" t="n">
        <v>2.00236252</v>
      </c>
      <c r="G63" s="18" t="n">
        <v>60.44027775</v>
      </c>
      <c r="H63" s="20" t="n">
        <v>2.12525887</v>
      </c>
      <c r="I63" s="18" t="s">
        <v>349</v>
      </c>
      <c r="J63" s="20" t="s">
        <v>349</v>
      </c>
      <c r="K63" s="18" t="n">
        <v>2.02968779</v>
      </c>
      <c r="L63" s="20" t="n">
        <v>0.5518239700000001</v>
      </c>
      <c r="M63" s="18" t="n">
        <v>0</v>
      </c>
      <c r="N63" s="20" t="n">
        <v>0</v>
      </c>
      <c r="O63" s="18" t="n">
        <v>0</v>
      </c>
      <c r="P63" s="20" t="n">
        <v>0</v>
      </c>
      <c r="Q63" s="18" t="n">
        <v>10.801226</v>
      </c>
      <c r="R63" s="20" t="n">
        <v>1.74555323</v>
      </c>
    </row>
    <row r="64" spans="1:18">
      <c r="A64" s="15" t="s">
        <v>406</v>
      </c>
      <c r="B64" s="17" t="n">
        <v>1844</v>
      </c>
      <c r="C64" s="18">
        <f>(1556.0/B64*100)</f>
        <v/>
      </c>
      <c r="D64" s="19" t="n">
        <v>288</v>
      </c>
      <c r="E64" s="18" t="n">
        <v>12.69533871</v>
      </c>
      <c r="F64" s="20" t="n">
        <v>2.11235052</v>
      </c>
      <c r="G64" s="18" t="n">
        <v>83.14945978999999</v>
      </c>
      <c r="H64" s="20" t="n">
        <v>2.42212327</v>
      </c>
      <c r="I64" s="18" t="s">
        <v>349</v>
      </c>
      <c r="J64" s="20" t="s">
        <v>349</v>
      </c>
      <c r="K64" s="18" t="n">
        <v>0.6805436</v>
      </c>
      <c r="L64" s="20" t="n">
        <v>0.4791053</v>
      </c>
      <c r="M64" s="18" t="n">
        <v>0.33651641</v>
      </c>
      <c r="N64" s="20" t="n">
        <v>0.33947155</v>
      </c>
      <c r="O64" s="18" t="n">
        <v>0</v>
      </c>
      <c r="P64" s="20" t="n">
        <v>0</v>
      </c>
      <c r="Q64" s="18" t="n">
        <v>3.13814149</v>
      </c>
      <c r="R64" s="20" t="n">
        <v>1.12155916</v>
      </c>
    </row>
    <row r="65" spans="1:18">
      <c r="A65" s="15" t="s">
        <v>407</v>
      </c>
      <c r="B65" s="17" t="n">
        <v>2691</v>
      </c>
      <c r="C65" s="18">
        <f>(2266.0/B65*100)</f>
        <v/>
      </c>
      <c r="D65" s="19" t="n">
        <v>425</v>
      </c>
      <c r="E65" s="18" t="n">
        <v>16.21709524</v>
      </c>
      <c r="F65" s="20" t="n">
        <v>1.78781261</v>
      </c>
      <c r="G65" s="18" t="n">
        <v>75.48052300000001</v>
      </c>
      <c r="H65" s="20" t="n">
        <v>2.04349167</v>
      </c>
      <c r="I65" s="18" t="s">
        <v>349</v>
      </c>
      <c r="J65" s="20" t="s">
        <v>349</v>
      </c>
      <c r="K65" s="18" t="n">
        <v>2.17519187</v>
      </c>
      <c r="L65" s="20" t="n">
        <v>0.76003634</v>
      </c>
      <c r="M65" s="18" t="n">
        <v>0</v>
      </c>
      <c r="N65" s="20" t="n">
        <v>0</v>
      </c>
      <c r="O65" s="18" t="n">
        <v>0</v>
      </c>
      <c r="P65" s="20" t="n">
        <v>0</v>
      </c>
      <c r="Q65" s="18" t="n">
        <v>6.12718989</v>
      </c>
      <c r="R65" s="20" t="n">
        <v>1.11166152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24.15877771</v>
      </c>
      <c r="F69" s="20" t="n">
        <v>2.11502477</v>
      </c>
      <c r="G69" s="18" t="n">
        <v>75.61096291</v>
      </c>
      <c r="H69" s="20" t="n">
        <v>2.14287251</v>
      </c>
      <c r="I69" s="18" t="s">
        <v>349</v>
      </c>
      <c r="J69" s="20" t="s">
        <v>349</v>
      </c>
      <c r="K69" s="18" t="n">
        <v>0</v>
      </c>
      <c r="L69" s="20" t="n">
        <v>0</v>
      </c>
      <c r="M69" s="18" t="n">
        <v>0</v>
      </c>
      <c r="N69" s="20" t="n">
        <v>0</v>
      </c>
      <c r="O69" s="18" t="n">
        <v>0</v>
      </c>
      <c r="P69" s="20" t="n">
        <v>0</v>
      </c>
      <c r="Q69" s="18" t="n">
        <v>0.23025938</v>
      </c>
      <c r="R69" s="20" t="n">
        <v>0.23150734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13.53348462</v>
      </c>
      <c r="F74" s="20" t="n">
        <v>1.63007746</v>
      </c>
      <c r="G74" s="18" t="n">
        <v>76.1193777</v>
      </c>
      <c r="H74" s="20" t="n">
        <v>2.18127056</v>
      </c>
      <c r="I74" s="18" t="s">
        <v>349</v>
      </c>
      <c r="J74" s="20" t="s">
        <v>349</v>
      </c>
      <c r="K74" s="18" t="n">
        <v>3.8109194</v>
      </c>
      <c r="L74" s="20" t="n">
        <v>1.12504738</v>
      </c>
      <c r="M74" s="18" t="n">
        <v>0</v>
      </c>
      <c r="N74" s="20" t="n">
        <v>0</v>
      </c>
      <c r="O74" s="18" t="n">
        <v>0</v>
      </c>
      <c r="P74" s="20" t="n">
        <v>0</v>
      </c>
      <c r="Q74" s="18" t="n">
        <v>6.53621829</v>
      </c>
      <c r="R74" s="20" t="n">
        <v>1.34176203</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23.24290513</v>
      </c>
      <c r="F78" s="20" t="n">
        <v>2.05176939</v>
      </c>
      <c r="G78" s="18" t="n">
        <v>76.5019315</v>
      </c>
      <c r="H78" s="20" t="n">
        <v>2.07687581</v>
      </c>
      <c r="I78" s="18" t="s">
        <v>349</v>
      </c>
      <c r="J78" s="20" t="s">
        <v>349</v>
      </c>
      <c r="K78" s="18" t="n">
        <v>0</v>
      </c>
      <c r="L78" s="20" t="n">
        <v>0</v>
      </c>
      <c r="M78" s="18" t="n">
        <v>0</v>
      </c>
      <c r="N78" s="20" t="n">
        <v>0</v>
      </c>
      <c r="O78" s="18" t="n">
        <v>0</v>
      </c>
      <c r="P78" s="20" t="n">
        <v>0</v>
      </c>
      <c r="Q78" s="18" t="n">
        <v>0.25516337</v>
      </c>
      <c r="R78" s="20" t="n">
        <v>0.20200407</v>
      </c>
    </row>
    <row customHeight="1" ht="25" r="79" spans="1:18">
      <c r="A79" s="15" t="s">
        <v>421</v>
      </c>
      <c r="B79" s="17" t="n">
        <v>787</v>
      </c>
      <c r="C79" s="18">
        <f>(647.0/B79*100)</f>
        <v/>
      </c>
      <c r="D79" s="19" t="n">
        <v>140</v>
      </c>
      <c r="E79" s="18" t="n">
        <v>8.9921183</v>
      </c>
      <c r="F79" s="20" t="n">
        <v>2.20128276</v>
      </c>
      <c r="G79" s="18" t="n">
        <v>87.02120832</v>
      </c>
      <c r="H79" s="20" t="n">
        <v>2.94725397</v>
      </c>
      <c r="I79" s="18" t="s">
        <v>349</v>
      </c>
      <c r="J79" s="20" t="s">
        <v>349</v>
      </c>
      <c r="K79" s="18" t="n">
        <v>1.25109934</v>
      </c>
      <c r="L79" s="20" t="n">
        <v>0.72163942</v>
      </c>
      <c r="M79" s="18" t="n">
        <v>0</v>
      </c>
      <c r="N79" s="20" t="n">
        <v>0</v>
      </c>
      <c r="O79" s="18" t="n">
        <v>0</v>
      </c>
      <c r="P79" s="20" t="n">
        <v>0</v>
      </c>
      <c r="Q79" s="18" t="n">
        <v>2.73557404</v>
      </c>
      <c r="R79" s="20" t="n">
        <v>1.34617863</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77.22574659</v>
      </c>
      <c r="F44" s="20" t="n">
        <v>2.48980746</v>
      </c>
      <c r="G44" s="18" t="n">
        <v>11.72833007</v>
      </c>
      <c r="H44" s="20" t="n">
        <v>1.51687871</v>
      </c>
      <c r="I44" s="18" t="s">
        <v>349</v>
      </c>
      <c r="J44" s="20" t="s">
        <v>349</v>
      </c>
      <c r="K44" s="18" t="n">
        <v>1.50011253</v>
      </c>
      <c r="L44" s="20" t="n">
        <v>0.64423025</v>
      </c>
      <c r="M44" s="18" t="n">
        <v>0</v>
      </c>
      <c r="N44" s="20" t="n">
        <v>0</v>
      </c>
      <c r="O44" s="18" t="n">
        <v>0</v>
      </c>
      <c r="P44" s="20" t="n">
        <v>0</v>
      </c>
      <c r="Q44" s="18" t="n">
        <v>9.545810810000001</v>
      </c>
      <c r="R44" s="20" t="n">
        <v>1.78463828</v>
      </c>
    </row>
    <row r="45" spans="1:18">
      <c r="A45" s="15" t="s">
        <v>387</v>
      </c>
      <c r="B45" s="17" t="n">
        <v>2849</v>
      </c>
      <c r="C45" s="18">
        <f>(2347.0/B45*100)</f>
        <v/>
      </c>
      <c r="D45" s="19" t="n">
        <v>502</v>
      </c>
      <c r="E45" s="18" t="n">
        <v>85.05452284</v>
      </c>
      <c r="F45" s="20" t="n">
        <v>1.56265257</v>
      </c>
      <c r="G45" s="18" t="n">
        <v>4.48409168</v>
      </c>
      <c r="H45" s="20" t="n">
        <v>1.13519666</v>
      </c>
      <c r="I45" s="18" t="s">
        <v>349</v>
      </c>
      <c r="J45" s="20" t="s">
        <v>349</v>
      </c>
      <c r="K45" s="18" t="n">
        <v>3.82678008</v>
      </c>
      <c r="L45" s="20" t="n">
        <v>0.99756499</v>
      </c>
      <c r="M45" s="18" t="n">
        <v>0</v>
      </c>
      <c r="N45" s="20" t="n">
        <v>0</v>
      </c>
      <c r="O45" s="18" t="n">
        <v>0.09538815</v>
      </c>
      <c r="P45" s="20" t="n">
        <v>0.08503273</v>
      </c>
      <c r="Q45" s="18" t="n">
        <v>6.53921725</v>
      </c>
      <c r="R45" s="20" t="n">
        <v>1.0016276</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68.34137456000001</v>
      </c>
      <c r="F49" s="20" t="n">
        <v>2.39981332</v>
      </c>
      <c r="G49" s="18" t="n">
        <v>24.34247936</v>
      </c>
      <c r="H49" s="20" t="n">
        <v>2.31038292</v>
      </c>
      <c r="I49" s="18" t="s">
        <v>349</v>
      </c>
      <c r="J49" s="20" t="s">
        <v>349</v>
      </c>
      <c r="K49" s="18" t="n">
        <v>0.96933135</v>
      </c>
      <c r="L49" s="20" t="n">
        <v>0.4740978</v>
      </c>
      <c r="M49" s="18" t="n">
        <v>0</v>
      </c>
      <c r="N49" s="20" t="n">
        <v>0</v>
      </c>
      <c r="O49" s="18" t="n">
        <v>0</v>
      </c>
      <c r="P49" s="20" t="n">
        <v>0</v>
      </c>
      <c r="Q49" s="18" t="n">
        <v>6.34681473</v>
      </c>
      <c r="R49" s="20" t="n">
        <v>1.22494454</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64.56161451</v>
      </c>
      <c r="F55" s="20" t="n">
        <v>2.51696739</v>
      </c>
      <c r="G55" s="18" t="n">
        <v>16.45550727</v>
      </c>
      <c r="H55" s="20" t="n">
        <v>2.37605934</v>
      </c>
      <c r="I55" s="18" t="s">
        <v>349</v>
      </c>
      <c r="J55" s="20" t="s">
        <v>349</v>
      </c>
      <c r="K55" s="18" t="n">
        <v>1.2371976</v>
      </c>
      <c r="L55" s="20" t="n">
        <v>0.50182236</v>
      </c>
      <c r="M55" s="18" t="n">
        <v>0</v>
      </c>
      <c r="N55" s="20" t="n">
        <v>0</v>
      </c>
      <c r="O55" s="18" t="n">
        <v>0</v>
      </c>
      <c r="P55" s="20" t="n">
        <v>0</v>
      </c>
      <c r="Q55" s="18" t="n">
        <v>17.74568063</v>
      </c>
      <c r="R55" s="20" t="n">
        <v>1.83235094</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88.45560712</v>
      </c>
      <c r="F57" s="20" t="n">
        <v>1.47927832</v>
      </c>
      <c r="G57" s="18" t="n">
        <v>8.91259947</v>
      </c>
      <c r="H57" s="20" t="n">
        <v>1.31626575</v>
      </c>
      <c r="I57" s="18" t="s">
        <v>349</v>
      </c>
      <c r="J57" s="20" t="s">
        <v>349</v>
      </c>
      <c r="K57" s="18" t="n">
        <v>1.02159782</v>
      </c>
      <c r="L57" s="20" t="n">
        <v>0.54216487</v>
      </c>
      <c r="M57" s="18" t="n">
        <v>0</v>
      </c>
      <c r="N57" s="20" t="n">
        <v>0</v>
      </c>
      <c r="O57" s="18" t="n">
        <v>0</v>
      </c>
      <c r="P57" s="20" t="n">
        <v>0</v>
      </c>
      <c r="Q57" s="18" t="n">
        <v>1.61019559</v>
      </c>
      <c r="R57" s="20" t="n">
        <v>0.61313369</v>
      </c>
    </row>
    <row r="58" spans="1:18">
      <c r="A58" s="15" t="s">
        <v>400</v>
      </c>
      <c r="B58" s="17" t="n">
        <v>3530</v>
      </c>
      <c r="C58" s="18">
        <f>(2954.0/B58*100)</f>
        <v/>
      </c>
      <c r="D58" s="19" t="n">
        <v>576</v>
      </c>
      <c r="E58" s="18" t="n">
        <v>79.55895374000001</v>
      </c>
      <c r="F58" s="20" t="n">
        <v>1.83286096</v>
      </c>
      <c r="G58" s="18" t="n">
        <v>12.40110446</v>
      </c>
      <c r="H58" s="20" t="n">
        <v>1.55048616</v>
      </c>
      <c r="I58" s="18" t="s">
        <v>349</v>
      </c>
      <c r="J58" s="20" t="s">
        <v>349</v>
      </c>
      <c r="K58" s="18" t="n">
        <v>2.49809501</v>
      </c>
      <c r="L58" s="20" t="n">
        <v>0.8042445</v>
      </c>
      <c r="M58" s="18" t="n">
        <v>0</v>
      </c>
      <c r="N58" s="20" t="n">
        <v>0</v>
      </c>
      <c r="O58" s="18" t="n">
        <v>0</v>
      </c>
      <c r="P58" s="20" t="n">
        <v>0</v>
      </c>
      <c r="Q58" s="18" t="n">
        <v>5.54184679</v>
      </c>
      <c r="R58" s="20" t="n">
        <v>1.0445708</v>
      </c>
    </row>
    <row r="59" spans="1:18">
      <c r="A59" s="15" t="s">
        <v>401</v>
      </c>
      <c r="B59" s="17" t="n">
        <v>2548</v>
      </c>
      <c r="C59" s="18">
        <f>(2153.0/B59*100)</f>
        <v/>
      </c>
      <c r="D59" s="19" t="n">
        <v>395</v>
      </c>
      <c r="E59" s="18" t="n">
        <v>87.73063885000001</v>
      </c>
      <c r="F59" s="20" t="n">
        <v>1.88112548</v>
      </c>
      <c r="G59" s="18" t="n">
        <v>6.35099151</v>
      </c>
      <c r="H59" s="20" t="n">
        <v>1.51851452</v>
      </c>
      <c r="I59" s="18" t="s">
        <v>349</v>
      </c>
      <c r="J59" s="20" t="s">
        <v>349</v>
      </c>
      <c r="K59" s="18" t="n">
        <v>0.29228963</v>
      </c>
      <c r="L59" s="20" t="n">
        <v>0.21064204</v>
      </c>
      <c r="M59" s="18" t="n">
        <v>0</v>
      </c>
      <c r="N59" s="20" t="n">
        <v>0</v>
      </c>
      <c r="O59" s="18" t="n">
        <v>0</v>
      </c>
      <c r="P59" s="20" t="n">
        <v>0</v>
      </c>
      <c r="Q59" s="18" t="n">
        <v>5.62608001</v>
      </c>
      <c r="R59" s="20" t="n">
        <v>1.14811015</v>
      </c>
    </row>
    <row r="60" spans="1:18">
      <c r="A60" s="15" t="s">
        <v>402</v>
      </c>
      <c r="B60" s="17" t="n">
        <v>2095</v>
      </c>
      <c r="C60" s="18">
        <f>(1739.0/B60*100)</f>
        <v/>
      </c>
      <c r="D60" s="19" t="n">
        <v>356</v>
      </c>
      <c r="E60" s="18" t="n">
        <v>57.29760569</v>
      </c>
      <c r="F60" s="20" t="n">
        <v>3.0537177</v>
      </c>
      <c r="G60" s="18" t="n">
        <v>30.74720801</v>
      </c>
      <c r="H60" s="20" t="n">
        <v>2.39697275</v>
      </c>
      <c r="I60" s="18" t="s">
        <v>349</v>
      </c>
      <c r="J60" s="20" t="s">
        <v>349</v>
      </c>
      <c r="K60" s="18" t="n">
        <v>1.63467536</v>
      </c>
      <c r="L60" s="20" t="n">
        <v>0.43845238</v>
      </c>
      <c r="M60" s="18" t="n">
        <v>0</v>
      </c>
      <c r="N60" s="20" t="n">
        <v>0</v>
      </c>
      <c r="O60" s="18" t="n">
        <v>0</v>
      </c>
      <c r="P60" s="20" t="n">
        <v>0</v>
      </c>
      <c r="Q60" s="18" t="n">
        <v>10.32051095</v>
      </c>
      <c r="R60" s="20" t="n">
        <v>2.32695728</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67.79808199</v>
      </c>
      <c r="F63" s="20" t="n">
        <v>2.13230122</v>
      </c>
      <c r="G63" s="18" t="n">
        <v>13.27670869</v>
      </c>
      <c r="H63" s="20" t="n">
        <v>1.71919442</v>
      </c>
      <c r="I63" s="18" t="s">
        <v>349</v>
      </c>
      <c r="J63" s="20" t="s">
        <v>349</v>
      </c>
      <c r="K63" s="18" t="n">
        <v>2.54767624</v>
      </c>
      <c r="L63" s="20" t="n">
        <v>0.66520066</v>
      </c>
      <c r="M63" s="18" t="n">
        <v>0</v>
      </c>
      <c r="N63" s="20" t="n">
        <v>0</v>
      </c>
      <c r="O63" s="18" t="n">
        <v>0</v>
      </c>
      <c r="P63" s="20" t="n">
        <v>0</v>
      </c>
      <c r="Q63" s="18" t="n">
        <v>16.37753308</v>
      </c>
      <c r="R63" s="20" t="n">
        <v>1.88293231</v>
      </c>
    </row>
    <row r="64" spans="1:18">
      <c r="A64" s="15" t="s">
        <v>406</v>
      </c>
      <c r="B64" s="17" t="n">
        <v>1844</v>
      </c>
      <c r="C64" s="18">
        <f>(1556.0/B64*100)</f>
        <v/>
      </c>
      <c r="D64" s="19" t="n">
        <v>288</v>
      </c>
      <c r="E64" s="18" t="n">
        <v>62.15022783</v>
      </c>
      <c r="F64" s="20" t="n">
        <v>3.04774878</v>
      </c>
      <c r="G64" s="18" t="n">
        <v>30.62320191</v>
      </c>
      <c r="H64" s="20" t="n">
        <v>2.78681426</v>
      </c>
      <c r="I64" s="18" t="s">
        <v>349</v>
      </c>
      <c r="J64" s="20" t="s">
        <v>349</v>
      </c>
      <c r="K64" s="18" t="n">
        <v>1.508188</v>
      </c>
      <c r="L64" s="20" t="n">
        <v>0.74847292</v>
      </c>
      <c r="M64" s="18" t="n">
        <v>0.33651641</v>
      </c>
      <c r="N64" s="20" t="n">
        <v>0.33947155</v>
      </c>
      <c r="O64" s="18" t="n">
        <v>0</v>
      </c>
      <c r="P64" s="20" t="n">
        <v>0</v>
      </c>
      <c r="Q64" s="18" t="n">
        <v>5.38186586</v>
      </c>
      <c r="R64" s="20" t="n">
        <v>1.48839402</v>
      </c>
    </row>
    <row r="65" spans="1:18">
      <c r="A65" s="15" t="s">
        <v>407</v>
      </c>
      <c r="B65" s="17" t="n">
        <v>2691</v>
      </c>
      <c r="C65" s="18">
        <f>(2266.0/B65*100)</f>
        <v/>
      </c>
      <c r="D65" s="19" t="n">
        <v>425</v>
      </c>
      <c r="E65" s="18" t="n">
        <v>70.07672001</v>
      </c>
      <c r="F65" s="20" t="n">
        <v>2.31301607</v>
      </c>
      <c r="G65" s="18" t="n">
        <v>19.50042006</v>
      </c>
      <c r="H65" s="20" t="n">
        <v>2.10316203</v>
      </c>
      <c r="I65" s="18" t="s">
        <v>349</v>
      </c>
      <c r="J65" s="20" t="s">
        <v>349</v>
      </c>
      <c r="K65" s="18" t="n">
        <v>2.17519187</v>
      </c>
      <c r="L65" s="20" t="n">
        <v>0.76003634</v>
      </c>
      <c r="M65" s="18" t="n">
        <v>0</v>
      </c>
      <c r="N65" s="20" t="n">
        <v>0</v>
      </c>
      <c r="O65" s="18" t="n">
        <v>0</v>
      </c>
      <c r="P65" s="20" t="n">
        <v>0</v>
      </c>
      <c r="Q65" s="18" t="n">
        <v>8.247668060000001</v>
      </c>
      <c r="R65" s="20" t="n">
        <v>1.39443921</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60.94204426</v>
      </c>
      <c r="F69" s="20" t="n">
        <v>2.72969668</v>
      </c>
      <c r="G69" s="18" t="n">
        <v>38.82769636</v>
      </c>
      <c r="H69" s="20" t="n">
        <v>2.74384095</v>
      </c>
      <c r="I69" s="18" t="s">
        <v>349</v>
      </c>
      <c r="J69" s="20" t="s">
        <v>349</v>
      </c>
      <c r="K69" s="18" t="n">
        <v>0</v>
      </c>
      <c r="L69" s="20" t="n">
        <v>0</v>
      </c>
      <c r="M69" s="18" t="n">
        <v>0</v>
      </c>
      <c r="N69" s="20" t="n">
        <v>0</v>
      </c>
      <c r="O69" s="18" t="n">
        <v>0</v>
      </c>
      <c r="P69" s="20" t="n">
        <v>0</v>
      </c>
      <c r="Q69" s="18" t="n">
        <v>0.23025938</v>
      </c>
      <c r="R69" s="20" t="n">
        <v>0.23150734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62.79763453</v>
      </c>
      <c r="F74" s="20" t="n">
        <v>2.64323417</v>
      </c>
      <c r="G74" s="18" t="n">
        <v>19.70057429</v>
      </c>
      <c r="H74" s="20" t="n">
        <v>2.23148757</v>
      </c>
      <c r="I74" s="18" t="s">
        <v>349</v>
      </c>
      <c r="J74" s="20" t="s">
        <v>349</v>
      </c>
      <c r="K74" s="18" t="n">
        <v>4.04223998</v>
      </c>
      <c r="L74" s="20" t="n">
        <v>1.15303392</v>
      </c>
      <c r="M74" s="18" t="n">
        <v>0</v>
      </c>
      <c r="N74" s="20" t="n">
        <v>0</v>
      </c>
      <c r="O74" s="18" t="n">
        <v>0</v>
      </c>
      <c r="P74" s="20" t="n">
        <v>0</v>
      </c>
      <c r="Q74" s="18" t="n">
        <v>13.45955119</v>
      </c>
      <c r="R74" s="20" t="n">
        <v>1.97645303</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69.05471845</v>
      </c>
      <c r="F78" s="20" t="n">
        <v>2.4296334</v>
      </c>
      <c r="G78" s="18" t="n">
        <v>30.45439996</v>
      </c>
      <c r="H78" s="20" t="n">
        <v>2.42770485</v>
      </c>
      <c r="I78" s="18" t="s">
        <v>349</v>
      </c>
      <c r="J78" s="20" t="s">
        <v>349</v>
      </c>
      <c r="K78" s="18" t="n">
        <v>0</v>
      </c>
      <c r="L78" s="20" t="n">
        <v>0</v>
      </c>
      <c r="M78" s="18" t="n">
        <v>0</v>
      </c>
      <c r="N78" s="20" t="n">
        <v>0</v>
      </c>
      <c r="O78" s="18" t="n">
        <v>0</v>
      </c>
      <c r="P78" s="20" t="n">
        <v>0</v>
      </c>
      <c r="Q78" s="18" t="n">
        <v>0.49088158</v>
      </c>
      <c r="R78" s="20" t="n">
        <v>0.29921808</v>
      </c>
    </row>
    <row customHeight="1" ht="25" r="79" spans="1:18">
      <c r="A79" s="15" t="s">
        <v>421</v>
      </c>
      <c r="B79" s="17" t="n">
        <v>787</v>
      </c>
      <c r="C79" s="18">
        <f>(647.0/B79*100)</f>
        <v/>
      </c>
      <c r="D79" s="19" t="n">
        <v>140</v>
      </c>
      <c r="E79" s="18" t="n">
        <v>55.42595745</v>
      </c>
      <c r="F79" s="20" t="n">
        <v>4.92990645</v>
      </c>
      <c r="G79" s="18" t="n">
        <v>38.01540875</v>
      </c>
      <c r="H79" s="20" t="n">
        <v>5.04208603</v>
      </c>
      <c r="I79" s="18" t="s">
        <v>349</v>
      </c>
      <c r="J79" s="20" t="s">
        <v>349</v>
      </c>
      <c r="K79" s="18" t="n">
        <v>1.25109934</v>
      </c>
      <c r="L79" s="20" t="n">
        <v>0.72163942</v>
      </c>
      <c r="M79" s="18" t="n">
        <v>0</v>
      </c>
      <c r="N79" s="20" t="n">
        <v>0</v>
      </c>
      <c r="O79" s="18" t="n">
        <v>0</v>
      </c>
      <c r="P79" s="20" t="n">
        <v>0</v>
      </c>
      <c r="Q79" s="18" t="n">
        <v>5.30753447</v>
      </c>
      <c r="R79" s="20" t="n">
        <v>1.67722066</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58.52112666</v>
      </c>
      <c r="F44" s="20" t="n">
        <v>3.12410807</v>
      </c>
      <c r="G44" s="18" t="n">
        <v>35.87618432</v>
      </c>
      <c r="H44" s="20" t="n">
        <v>2.948975</v>
      </c>
      <c r="I44" s="18" t="s">
        <v>349</v>
      </c>
      <c r="J44" s="20" t="s">
        <v>349</v>
      </c>
      <c r="K44" s="18" t="n">
        <v>1.6754485</v>
      </c>
      <c r="L44" s="20" t="n">
        <v>0.67602491</v>
      </c>
      <c r="M44" s="18" t="n">
        <v>0</v>
      </c>
      <c r="N44" s="20" t="n">
        <v>0</v>
      </c>
      <c r="O44" s="18" t="n">
        <v>0</v>
      </c>
      <c r="P44" s="20" t="n">
        <v>0</v>
      </c>
      <c r="Q44" s="18" t="n">
        <v>3.92724052</v>
      </c>
      <c r="R44" s="20" t="n">
        <v>1.24427522</v>
      </c>
    </row>
    <row r="45" spans="1:18">
      <c r="A45" s="15" t="s">
        <v>387</v>
      </c>
      <c r="B45" s="17" t="n">
        <v>2849</v>
      </c>
      <c r="C45" s="18">
        <f>(2347.0/B45*100)</f>
        <v/>
      </c>
      <c r="D45" s="19" t="n">
        <v>502</v>
      </c>
      <c r="E45" s="18" t="n">
        <v>47.47048407</v>
      </c>
      <c r="F45" s="20" t="n">
        <v>2.86832717</v>
      </c>
      <c r="G45" s="18" t="n">
        <v>46.32730136</v>
      </c>
      <c r="H45" s="20" t="n">
        <v>2.58545654</v>
      </c>
      <c r="I45" s="18" t="s">
        <v>349</v>
      </c>
      <c r="J45" s="20" t="s">
        <v>349</v>
      </c>
      <c r="K45" s="18" t="n">
        <v>3.82678008</v>
      </c>
      <c r="L45" s="20" t="n">
        <v>0.99756499</v>
      </c>
      <c r="M45" s="18" t="n">
        <v>0</v>
      </c>
      <c r="N45" s="20" t="n">
        <v>0</v>
      </c>
      <c r="O45" s="18" t="n">
        <v>0</v>
      </c>
      <c r="P45" s="20" t="n">
        <v>0</v>
      </c>
      <c r="Q45" s="18" t="n">
        <v>2.37543448</v>
      </c>
      <c r="R45" s="20" t="n">
        <v>0.70023778</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37.32662196</v>
      </c>
      <c r="F49" s="20" t="n">
        <v>2.57028174</v>
      </c>
      <c r="G49" s="18" t="n">
        <v>59.33411466</v>
      </c>
      <c r="H49" s="20" t="n">
        <v>2.52539256</v>
      </c>
      <c r="I49" s="18" t="s">
        <v>349</v>
      </c>
      <c r="J49" s="20" t="s">
        <v>349</v>
      </c>
      <c r="K49" s="18" t="n">
        <v>0.96933135</v>
      </c>
      <c r="L49" s="20" t="n">
        <v>0.4740978</v>
      </c>
      <c r="M49" s="18" t="n">
        <v>0</v>
      </c>
      <c r="N49" s="20" t="n">
        <v>0</v>
      </c>
      <c r="O49" s="18" t="n">
        <v>0</v>
      </c>
      <c r="P49" s="20" t="n">
        <v>0</v>
      </c>
      <c r="Q49" s="18" t="n">
        <v>2.36993203</v>
      </c>
      <c r="R49" s="20" t="n">
        <v>0.74920955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46.95708068</v>
      </c>
      <c r="F55" s="20" t="n">
        <v>2.29785582</v>
      </c>
      <c r="G55" s="18" t="n">
        <v>48.77968249</v>
      </c>
      <c r="H55" s="20" t="n">
        <v>2.44033019</v>
      </c>
      <c r="I55" s="18" t="s">
        <v>349</v>
      </c>
      <c r="J55" s="20" t="s">
        <v>349</v>
      </c>
      <c r="K55" s="18" t="n">
        <v>1.2371976</v>
      </c>
      <c r="L55" s="20" t="n">
        <v>0.50182236</v>
      </c>
      <c r="M55" s="18" t="n">
        <v>0</v>
      </c>
      <c r="N55" s="20" t="n">
        <v>0</v>
      </c>
      <c r="O55" s="18" t="n">
        <v>0</v>
      </c>
      <c r="P55" s="20" t="n">
        <v>0</v>
      </c>
      <c r="Q55" s="18" t="n">
        <v>3.02603923</v>
      </c>
      <c r="R55" s="20" t="n">
        <v>0.86034187</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48.49627609</v>
      </c>
      <c r="F57" s="20" t="n">
        <v>2.45758985</v>
      </c>
      <c r="G57" s="18" t="n">
        <v>49.6240852</v>
      </c>
      <c r="H57" s="20" t="n">
        <v>2.29272634</v>
      </c>
      <c r="I57" s="18" t="s">
        <v>349</v>
      </c>
      <c r="J57" s="20" t="s">
        <v>349</v>
      </c>
      <c r="K57" s="18" t="n">
        <v>1.02159782</v>
      </c>
      <c r="L57" s="20" t="n">
        <v>0.54216487</v>
      </c>
      <c r="M57" s="18" t="n">
        <v>0</v>
      </c>
      <c r="N57" s="20" t="n">
        <v>0</v>
      </c>
      <c r="O57" s="18" t="n">
        <v>0</v>
      </c>
      <c r="P57" s="20" t="n">
        <v>0</v>
      </c>
      <c r="Q57" s="18" t="n">
        <v>0.8580408899999999</v>
      </c>
      <c r="R57" s="20" t="n">
        <v>0.55191052</v>
      </c>
    </row>
    <row r="58" spans="1:18">
      <c r="A58" s="15" t="s">
        <v>400</v>
      </c>
      <c r="B58" s="17" t="n">
        <v>3530</v>
      </c>
      <c r="C58" s="18">
        <f>(2954.0/B58*100)</f>
        <v/>
      </c>
      <c r="D58" s="19" t="n">
        <v>576</v>
      </c>
      <c r="E58" s="18" t="n">
        <v>48.55907123</v>
      </c>
      <c r="F58" s="20" t="n">
        <v>2.2063226</v>
      </c>
      <c r="G58" s="18" t="n">
        <v>46.62087734</v>
      </c>
      <c r="H58" s="20" t="n">
        <v>2.31481877</v>
      </c>
      <c r="I58" s="18" t="s">
        <v>349</v>
      </c>
      <c r="J58" s="20" t="s">
        <v>349</v>
      </c>
      <c r="K58" s="18" t="n">
        <v>2.49809501</v>
      </c>
      <c r="L58" s="20" t="n">
        <v>0.8042445</v>
      </c>
      <c r="M58" s="18" t="n">
        <v>0</v>
      </c>
      <c r="N58" s="20" t="n">
        <v>0</v>
      </c>
      <c r="O58" s="18" t="n">
        <v>0.29813406</v>
      </c>
      <c r="P58" s="20" t="n">
        <v>0.29422548</v>
      </c>
      <c r="Q58" s="18" t="n">
        <v>2.02382235</v>
      </c>
      <c r="R58" s="20" t="n">
        <v>0.73995193</v>
      </c>
    </row>
    <row r="59" spans="1:18">
      <c r="A59" s="15" t="s">
        <v>401</v>
      </c>
      <c r="B59" s="17" t="n">
        <v>2548</v>
      </c>
      <c r="C59" s="18">
        <f>(2153.0/B59*100)</f>
        <v/>
      </c>
      <c r="D59" s="19" t="n">
        <v>395</v>
      </c>
      <c r="E59" s="18" t="n">
        <v>61.06831245</v>
      </c>
      <c r="F59" s="20" t="n">
        <v>2.68326464</v>
      </c>
      <c r="G59" s="18" t="n">
        <v>36.51540752</v>
      </c>
      <c r="H59" s="20" t="n">
        <v>2.59949824</v>
      </c>
      <c r="I59" s="18" t="s">
        <v>349</v>
      </c>
      <c r="J59" s="20" t="s">
        <v>349</v>
      </c>
      <c r="K59" s="18" t="n">
        <v>0.29228963</v>
      </c>
      <c r="L59" s="20" t="n">
        <v>0.21064204</v>
      </c>
      <c r="M59" s="18" t="n">
        <v>0</v>
      </c>
      <c r="N59" s="20" t="n">
        <v>0</v>
      </c>
      <c r="O59" s="18" t="n">
        <v>0</v>
      </c>
      <c r="P59" s="20" t="n">
        <v>0</v>
      </c>
      <c r="Q59" s="18" t="n">
        <v>2.1239904</v>
      </c>
      <c r="R59" s="20" t="n">
        <v>0.92907806</v>
      </c>
    </row>
    <row r="60" spans="1:18">
      <c r="A60" s="15" t="s">
        <v>402</v>
      </c>
      <c r="B60" s="17" t="n">
        <v>2095</v>
      </c>
      <c r="C60" s="18">
        <f>(1739.0/B60*100)</f>
        <v/>
      </c>
      <c r="D60" s="19" t="n">
        <v>356</v>
      </c>
      <c r="E60" s="18" t="n">
        <v>54.04567143</v>
      </c>
      <c r="F60" s="20" t="n">
        <v>3.52432798</v>
      </c>
      <c r="G60" s="18" t="n">
        <v>42.56799258</v>
      </c>
      <c r="H60" s="20" t="n">
        <v>3.50029223</v>
      </c>
      <c r="I60" s="18" t="s">
        <v>349</v>
      </c>
      <c r="J60" s="20" t="s">
        <v>349</v>
      </c>
      <c r="K60" s="18" t="n">
        <v>2.27381486</v>
      </c>
      <c r="L60" s="20" t="n">
        <v>0.58871194</v>
      </c>
      <c r="M60" s="18" t="n">
        <v>0</v>
      </c>
      <c r="N60" s="20" t="n">
        <v>0</v>
      </c>
      <c r="O60" s="18" t="n">
        <v>0</v>
      </c>
      <c r="P60" s="20" t="n">
        <v>0</v>
      </c>
      <c r="Q60" s="18" t="n">
        <v>1.11252112</v>
      </c>
      <c r="R60" s="20" t="n">
        <v>0.55341528</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50.72738303</v>
      </c>
      <c r="F63" s="20" t="n">
        <v>2.56676459</v>
      </c>
      <c r="G63" s="18" t="n">
        <v>43.72601901</v>
      </c>
      <c r="H63" s="20" t="n">
        <v>2.55338648</v>
      </c>
      <c r="I63" s="18" t="s">
        <v>349</v>
      </c>
      <c r="J63" s="20" t="s">
        <v>349</v>
      </c>
      <c r="K63" s="18" t="n">
        <v>2.54767624</v>
      </c>
      <c r="L63" s="20" t="n">
        <v>0.66520066</v>
      </c>
      <c r="M63" s="18" t="n">
        <v>0</v>
      </c>
      <c r="N63" s="20" t="n">
        <v>0</v>
      </c>
      <c r="O63" s="18" t="n">
        <v>0</v>
      </c>
      <c r="P63" s="20" t="n">
        <v>0</v>
      </c>
      <c r="Q63" s="18" t="n">
        <v>2.99892172</v>
      </c>
      <c r="R63" s="20" t="n">
        <v>0.88433944</v>
      </c>
    </row>
    <row r="64" spans="1:18">
      <c r="A64" s="15" t="s">
        <v>406</v>
      </c>
      <c r="B64" s="17" t="n">
        <v>1844</v>
      </c>
      <c r="C64" s="18">
        <f>(1556.0/B64*100)</f>
        <v/>
      </c>
      <c r="D64" s="19" t="n">
        <v>288</v>
      </c>
      <c r="E64" s="18" t="n">
        <v>42.24415305</v>
      </c>
      <c r="F64" s="20" t="n">
        <v>2.87088256</v>
      </c>
      <c r="G64" s="18" t="n">
        <v>55.51358588</v>
      </c>
      <c r="H64" s="20" t="n">
        <v>3.05642435</v>
      </c>
      <c r="I64" s="18" t="s">
        <v>349</v>
      </c>
      <c r="J64" s="20" t="s">
        <v>349</v>
      </c>
      <c r="K64" s="18" t="n">
        <v>1.508188</v>
      </c>
      <c r="L64" s="20" t="n">
        <v>0.74847292</v>
      </c>
      <c r="M64" s="18" t="n">
        <v>0</v>
      </c>
      <c r="N64" s="20" t="n">
        <v>0</v>
      </c>
      <c r="O64" s="18" t="n">
        <v>0</v>
      </c>
      <c r="P64" s="20" t="n">
        <v>0</v>
      </c>
      <c r="Q64" s="18" t="n">
        <v>0.73407308</v>
      </c>
      <c r="R64" s="20" t="n">
        <v>0.53169866</v>
      </c>
    </row>
    <row r="65" spans="1:18">
      <c r="A65" s="15" t="s">
        <v>407</v>
      </c>
      <c r="B65" s="17" t="n">
        <v>2691</v>
      </c>
      <c r="C65" s="18">
        <f>(2266.0/B65*100)</f>
        <v/>
      </c>
      <c r="D65" s="19" t="n">
        <v>425</v>
      </c>
      <c r="E65" s="18" t="n">
        <v>44.63066078</v>
      </c>
      <c r="F65" s="20" t="n">
        <v>2.62442188</v>
      </c>
      <c r="G65" s="18" t="n">
        <v>52.20302679</v>
      </c>
      <c r="H65" s="20" t="n">
        <v>2.70688873</v>
      </c>
      <c r="I65" s="18" t="s">
        <v>349</v>
      </c>
      <c r="J65" s="20" t="s">
        <v>349</v>
      </c>
      <c r="K65" s="18" t="n">
        <v>2.17519187</v>
      </c>
      <c r="L65" s="20" t="n">
        <v>0.76003634</v>
      </c>
      <c r="M65" s="18" t="n">
        <v>0</v>
      </c>
      <c r="N65" s="20" t="n">
        <v>0</v>
      </c>
      <c r="O65" s="18" t="n">
        <v>0</v>
      </c>
      <c r="P65" s="20" t="n">
        <v>0</v>
      </c>
      <c r="Q65" s="18" t="n">
        <v>0.99112056</v>
      </c>
      <c r="R65" s="20" t="n">
        <v>0.52187911</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51.42399398</v>
      </c>
      <c r="F69" s="20" t="n">
        <v>2.67572954</v>
      </c>
      <c r="G69" s="18" t="n">
        <v>48.57600602</v>
      </c>
      <c r="H69" s="20" t="n">
        <v>2.67572954</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45.70399875</v>
      </c>
      <c r="F74" s="20" t="n">
        <v>2.9715946</v>
      </c>
      <c r="G74" s="18" t="n">
        <v>44.59972135</v>
      </c>
      <c r="H74" s="20" t="n">
        <v>2.97112857</v>
      </c>
      <c r="I74" s="18" t="s">
        <v>349</v>
      </c>
      <c r="J74" s="20" t="s">
        <v>349</v>
      </c>
      <c r="K74" s="18" t="n">
        <v>4.13695298</v>
      </c>
      <c r="L74" s="20" t="n">
        <v>1.15725567</v>
      </c>
      <c r="M74" s="18" t="n">
        <v>0</v>
      </c>
      <c r="N74" s="20" t="n">
        <v>0</v>
      </c>
      <c r="O74" s="18" t="n">
        <v>0</v>
      </c>
      <c r="P74" s="20" t="n">
        <v>0</v>
      </c>
      <c r="Q74" s="18" t="n">
        <v>5.55932693</v>
      </c>
      <c r="R74" s="20" t="n">
        <v>1.24238333</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10.61236756</v>
      </c>
      <c r="F78" s="20" t="n">
        <v>1.49698782</v>
      </c>
      <c r="G78" s="18" t="n">
        <v>89.38763244</v>
      </c>
      <c r="H78" s="20" t="n">
        <v>1.49698782</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(647.0/B79*100)</f>
        <v/>
      </c>
      <c r="D79" s="19" t="n">
        <v>140</v>
      </c>
      <c r="E79" s="18" t="n">
        <v>32.41209706</v>
      </c>
      <c r="F79" s="20" t="n">
        <v>3.77395168</v>
      </c>
      <c r="G79" s="18" t="n">
        <v>61.30098201</v>
      </c>
      <c r="H79" s="20" t="n">
        <v>3.74872799</v>
      </c>
      <c r="I79" s="18" t="s">
        <v>349</v>
      </c>
      <c r="J79" s="20" t="s">
        <v>349</v>
      </c>
      <c r="K79" s="18" t="n">
        <v>1.25109934</v>
      </c>
      <c r="L79" s="20" t="n">
        <v>0.72163942</v>
      </c>
      <c r="M79" s="18" t="n">
        <v>0</v>
      </c>
      <c r="N79" s="20" t="n">
        <v>0</v>
      </c>
      <c r="O79" s="18" t="n">
        <v>0</v>
      </c>
      <c r="P79" s="20" t="n">
        <v>0</v>
      </c>
      <c r="Q79" s="18" t="n">
        <v>5.03582159</v>
      </c>
      <c r="R79" s="20" t="n">
        <v>1.63949804</v>
      </c>
    </row>
    <row r="80" spans="1:18">
      <c r="A80" s="15" t="s">
        <v>422</v>
      </c>
      <c r="B80" s="17" t="n">
        <v>3798</v>
      </c>
      <c r="C80" s="18">
        <f>(3156.0/B80*100)</f>
        <v/>
      </c>
      <c r="D80" s="19" t="n">
        <v>642</v>
      </c>
      <c r="E80" s="18" t="n">
        <v>33.97022482</v>
      </c>
      <c r="F80" s="20" t="n">
        <v>2.50555852</v>
      </c>
      <c r="G80" s="18" t="n">
        <v>66.02977518</v>
      </c>
      <c r="H80" s="20" t="n">
        <v>2.50555852</v>
      </c>
      <c r="I80" s="18" t="s">
        <v>349</v>
      </c>
      <c r="J80" s="20" t="s">
        <v>349</v>
      </c>
      <c r="K80" s="18" t="n">
        <v>0</v>
      </c>
      <c r="L80" s="20" t="n">
        <v>0</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63.43906592</v>
      </c>
      <c r="F44" s="20" t="n">
        <v>3.14883646</v>
      </c>
      <c r="G44" s="18" t="n">
        <v>26.16593544</v>
      </c>
      <c r="H44" s="20" t="n">
        <v>2.39582388</v>
      </c>
      <c r="I44" s="18" t="s">
        <v>349</v>
      </c>
      <c r="J44" s="20" t="s">
        <v>349</v>
      </c>
      <c r="K44" s="18" t="n">
        <v>1.6754485</v>
      </c>
      <c r="L44" s="20" t="n">
        <v>0.67602491</v>
      </c>
      <c r="M44" s="18" t="n">
        <v>0</v>
      </c>
      <c r="N44" s="20" t="n">
        <v>0</v>
      </c>
      <c r="O44" s="18" t="n">
        <v>0.44811086</v>
      </c>
      <c r="P44" s="20" t="n">
        <v>0.32567451</v>
      </c>
      <c r="Q44" s="18" t="n">
        <v>8.27143927</v>
      </c>
      <c r="R44" s="20" t="n">
        <v>1.77836711</v>
      </c>
    </row>
    <row r="45" spans="1:18">
      <c r="A45" s="15" t="s">
        <v>387</v>
      </c>
      <c r="B45" s="17" t="n">
        <v>2849</v>
      </c>
      <c r="C45" s="18">
        <f>(2347.0/B45*100)</f>
        <v/>
      </c>
      <c r="D45" s="19" t="n">
        <v>502</v>
      </c>
      <c r="E45" s="18" t="n">
        <v>75.3509054</v>
      </c>
      <c r="F45" s="20" t="n">
        <v>1.77971649</v>
      </c>
      <c r="G45" s="18" t="n">
        <v>15.49858874</v>
      </c>
      <c r="H45" s="20" t="n">
        <v>1.65539097</v>
      </c>
      <c r="I45" s="18" t="s">
        <v>349</v>
      </c>
      <c r="J45" s="20" t="s">
        <v>349</v>
      </c>
      <c r="K45" s="18" t="n">
        <v>4.00906675</v>
      </c>
      <c r="L45" s="20" t="n">
        <v>1.01160384</v>
      </c>
      <c r="M45" s="18" t="n">
        <v>0.3808497</v>
      </c>
      <c r="N45" s="20" t="n">
        <v>0.25823535</v>
      </c>
      <c r="O45" s="18" t="n">
        <v>2.19139968</v>
      </c>
      <c r="P45" s="20" t="n">
        <v>0.68865003</v>
      </c>
      <c r="Q45" s="18" t="n">
        <v>2.56918974</v>
      </c>
      <c r="R45" s="20" t="n">
        <v>0.70782928</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67.9249243</v>
      </c>
      <c r="F49" s="20" t="n">
        <v>2.23261542</v>
      </c>
      <c r="G49" s="18" t="n">
        <v>25.9540809</v>
      </c>
      <c r="H49" s="20" t="n">
        <v>2.29357105</v>
      </c>
      <c r="I49" s="18" t="s">
        <v>349</v>
      </c>
      <c r="J49" s="20" t="s">
        <v>349</v>
      </c>
      <c r="K49" s="18" t="n">
        <v>1.24593104</v>
      </c>
      <c r="L49" s="20" t="n">
        <v>0.54961833</v>
      </c>
      <c r="M49" s="18" t="n">
        <v>0</v>
      </c>
      <c r="N49" s="20" t="n">
        <v>0</v>
      </c>
      <c r="O49" s="18" t="n">
        <v>0</v>
      </c>
      <c r="P49" s="20" t="n">
        <v>0</v>
      </c>
      <c r="Q49" s="18" t="n">
        <v>4.87506377</v>
      </c>
      <c r="R49" s="20" t="n">
        <v>1.07409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59.02550224</v>
      </c>
      <c r="F55" s="20" t="n">
        <v>2.46064851</v>
      </c>
      <c r="G55" s="18" t="n">
        <v>35.67382227</v>
      </c>
      <c r="H55" s="20" t="n">
        <v>2.31412205</v>
      </c>
      <c r="I55" s="18" t="s">
        <v>349</v>
      </c>
      <c r="J55" s="20" t="s">
        <v>349</v>
      </c>
      <c r="K55" s="18" t="n">
        <v>1.62142102</v>
      </c>
      <c r="L55" s="20" t="n">
        <v>0.57098948</v>
      </c>
      <c r="M55" s="18" t="n">
        <v>0</v>
      </c>
      <c r="N55" s="20" t="n">
        <v>0</v>
      </c>
      <c r="O55" s="18" t="n">
        <v>0.53880976</v>
      </c>
      <c r="P55" s="20" t="n">
        <v>0.32582105</v>
      </c>
      <c r="Q55" s="18" t="n">
        <v>3.14044471</v>
      </c>
      <c r="R55" s="20" t="n">
        <v>0.80271029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67.00089482999999</v>
      </c>
      <c r="F57" s="20" t="n">
        <v>2.02396856</v>
      </c>
      <c r="G57" s="18" t="n">
        <v>30.77136625</v>
      </c>
      <c r="H57" s="20" t="n">
        <v>1.86989023</v>
      </c>
      <c r="I57" s="18" t="s">
        <v>349</v>
      </c>
      <c r="J57" s="20" t="s">
        <v>349</v>
      </c>
      <c r="K57" s="18" t="n">
        <v>1.02159782</v>
      </c>
      <c r="L57" s="20" t="n">
        <v>0.54216487</v>
      </c>
      <c r="M57" s="18" t="n">
        <v>0</v>
      </c>
      <c r="N57" s="20" t="n">
        <v>0</v>
      </c>
      <c r="O57" s="18" t="n">
        <v>0</v>
      </c>
      <c r="P57" s="20" t="n">
        <v>0</v>
      </c>
      <c r="Q57" s="18" t="n">
        <v>1.20614109</v>
      </c>
      <c r="R57" s="20" t="n">
        <v>0.49728795</v>
      </c>
    </row>
    <row r="58" spans="1:18">
      <c r="A58" s="15" t="s">
        <v>400</v>
      </c>
      <c r="B58" s="17" t="n">
        <v>3530</v>
      </c>
      <c r="C58" s="18">
        <f>(2954.0/B58*100)</f>
        <v/>
      </c>
      <c r="D58" s="19" t="n">
        <v>576</v>
      </c>
      <c r="E58" s="18" t="n">
        <v>65.24035394000001</v>
      </c>
      <c r="F58" s="20" t="n">
        <v>2.4061189</v>
      </c>
      <c r="G58" s="18" t="n">
        <v>26.76021569</v>
      </c>
      <c r="H58" s="20" t="n">
        <v>2.25248643</v>
      </c>
      <c r="I58" s="18" t="s">
        <v>349</v>
      </c>
      <c r="J58" s="20" t="s">
        <v>349</v>
      </c>
      <c r="K58" s="18" t="n">
        <v>2.49809501</v>
      </c>
      <c r="L58" s="20" t="n">
        <v>0.8042445</v>
      </c>
      <c r="M58" s="18" t="n">
        <v>0</v>
      </c>
      <c r="N58" s="20" t="n">
        <v>0</v>
      </c>
      <c r="O58" s="18" t="n">
        <v>1.55173121</v>
      </c>
      <c r="P58" s="20" t="n">
        <v>0.5113981399999999</v>
      </c>
      <c r="Q58" s="18" t="n">
        <v>3.94960414</v>
      </c>
      <c r="R58" s="20" t="n">
        <v>1.01777462</v>
      </c>
    </row>
    <row r="59" spans="1:18">
      <c r="A59" s="15" t="s">
        <v>401</v>
      </c>
      <c r="B59" s="17" t="n">
        <v>2548</v>
      </c>
      <c r="C59" s="18">
        <f>(2153.0/B59*100)</f>
        <v/>
      </c>
      <c r="D59" s="19" t="n">
        <v>395</v>
      </c>
      <c r="E59" s="18" t="n">
        <v>73.73261374000001</v>
      </c>
      <c r="F59" s="20" t="n">
        <v>2.94588674</v>
      </c>
      <c r="G59" s="18" t="n">
        <v>25.46645062</v>
      </c>
      <c r="H59" s="20" t="n">
        <v>2.91994313</v>
      </c>
      <c r="I59" s="18" t="s">
        <v>349</v>
      </c>
      <c r="J59" s="20" t="s">
        <v>349</v>
      </c>
      <c r="K59" s="18" t="n">
        <v>0.29228963</v>
      </c>
      <c r="L59" s="20" t="n">
        <v>0.21064204</v>
      </c>
      <c r="M59" s="18" t="n">
        <v>0</v>
      </c>
      <c r="N59" s="20" t="n">
        <v>0</v>
      </c>
      <c r="O59" s="18" t="n">
        <v>0</v>
      </c>
      <c r="P59" s="20" t="n">
        <v>0</v>
      </c>
      <c r="Q59" s="18" t="n">
        <v>0.50864601</v>
      </c>
      <c r="R59" s="20" t="n">
        <v>0.38374795</v>
      </c>
    </row>
    <row r="60" spans="1:18">
      <c r="A60" s="15" t="s">
        <v>402</v>
      </c>
      <c r="B60" s="17" t="n">
        <v>2095</v>
      </c>
      <c r="C60" s="18">
        <f>(1739.0/B60*100)</f>
        <v/>
      </c>
      <c r="D60" s="19" t="n">
        <v>356</v>
      </c>
      <c r="E60" s="18" t="n">
        <v>66.01452107</v>
      </c>
      <c r="F60" s="20" t="n">
        <v>2.82004828</v>
      </c>
      <c r="G60" s="18" t="n">
        <v>23.54407932</v>
      </c>
      <c r="H60" s="20" t="n">
        <v>2.36276901</v>
      </c>
      <c r="I60" s="18" t="s">
        <v>349</v>
      </c>
      <c r="J60" s="20" t="s">
        <v>349</v>
      </c>
      <c r="K60" s="18" t="n">
        <v>3.18023306</v>
      </c>
      <c r="L60" s="20" t="n">
        <v>0.78349328</v>
      </c>
      <c r="M60" s="18" t="n">
        <v>0</v>
      </c>
      <c r="N60" s="20" t="n">
        <v>0</v>
      </c>
      <c r="O60" s="18" t="n">
        <v>1.7573457</v>
      </c>
      <c r="P60" s="20" t="n">
        <v>0.83105798</v>
      </c>
      <c r="Q60" s="18" t="n">
        <v>5.50382084</v>
      </c>
      <c r="R60" s="20" t="n">
        <v>1.34924294</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63.95911343</v>
      </c>
      <c r="F63" s="20" t="n">
        <v>2.20267219</v>
      </c>
      <c r="G63" s="18" t="n">
        <v>27.24457284</v>
      </c>
      <c r="H63" s="20" t="n">
        <v>2.22976403</v>
      </c>
      <c r="I63" s="18" t="s">
        <v>349</v>
      </c>
      <c r="J63" s="20" t="s">
        <v>349</v>
      </c>
      <c r="K63" s="18" t="n">
        <v>2.90881998</v>
      </c>
      <c r="L63" s="20" t="n">
        <v>0.7124344500000001</v>
      </c>
      <c r="M63" s="18" t="n">
        <v>0</v>
      </c>
      <c r="N63" s="20" t="n">
        <v>0</v>
      </c>
      <c r="O63" s="18" t="n">
        <v>0.23966142</v>
      </c>
      <c r="P63" s="20" t="n">
        <v>0.23895933</v>
      </c>
      <c r="Q63" s="18" t="n">
        <v>5.64783232</v>
      </c>
      <c r="R63" s="20" t="n">
        <v>1.15373404</v>
      </c>
    </row>
    <row r="64" spans="1:18">
      <c r="A64" s="15" t="s">
        <v>406</v>
      </c>
      <c r="B64" s="17" t="n">
        <v>1844</v>
      </c>
      <c r="C64" s="18">
        <f>(1556.0/B64*100)</f>
        <v/>
      </c>
      <c r="D64" s="19" t="n">
        <v>288</v>
      </c>
      <c r="E64" s="18" t="n">
        <v>49.18481274</v>
      </c>
      <c r="F64" s="20" t="n">
        <v>2.96387867</v>
      </c>
      <c r="G64" s="18" t="n">
        <v>45.81709013</v>
      </c>
      <c r="H64" s="20" t="n">
        <v>3.20193279</v>
      </c>
      <c r="I64" s="18" t="s">
        <v>349</v>
      </c>
      <c r="J64" s="20" t="s">
        <v>349</v>
      </c>
      <c r="K64" s="18" t="n">
        <v>2.90371413</v>
      </c>
      <c r="L64" s="20" t="n">
        <v>1.02451927</v>
      </c>
      <c r="M64" s="18" t="n">
        <v>0</v>
      </c>
      <c r="N64" s="20" t="n">
        <v>0</v>
      </c>
      <c r="O64" s="18" t="n">
        <v>1.07971961</v>
      </c>
      <c r="P64" s="20" t="n">
        <v>0.34453125</v>
      </c>
      <c r="Q64" s="18" t="n">
        <v>1.01466338</v>
      </c>
      <c r="R64" s="20" t="n">
        <v>0.5763568</v>
      </c>
    </row>
    <row r="65" spans="1:18">
      <c r="A65" s="15" t="s">
        <v>407</v>
      </c>
      <c r="B65" s="17" t="n">
        <v>2691</v>
      </c>
      <c r="C65" s="18">
        <f>(2266.0/B65*100)</f>
        <v/>
      </c>
      <c r="D65" s="19" t="n">
        <v>425</v>
      </c>
      <c r="E65" s="18" t="n">
        <v>66.96766067999999</v>
      </c>
      <c r="F65" s="20" t="n">
        <v>2.39956673</v>
      </c>
      <c r="G65" s="18" t="n">
        <v>27.55612456</v>
      </c>
      <c r="H65" s="20" t="n">
        <v>2.34133681</v>
      </c>
      <c r="I65" s="18" t="s">
        <v>349</v>
      </c>
      <c r="J65" s="20" t="s">
        <v>349</v>
      </c>
      <c r="K65" s="18" t="n">
        <v>2.40331324</v>
      </c>
      <c r="L65" s="20" t="n">
        <v>0.79417228</v>
      </c>
      <c r="M65" s="18" t="n">
        <v>0.431769</v>
      </c>
      <c r="N65" s="20" t="n">
        <v>0.30833304</v>
      </c>
      <c r="O65" s="18" t="n">
        <v>0</v>
      </c>
      <c r="P65" s="20" t="n">
        <v>0</v>
      </c>
      <c r="Q65" s="18" t="n">
        <v>2.64113251</v>
      </c>
      <c r="R65" s="20" t="n">
        <v>0.8210656</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64.42783089</v>
      </c>
      <c r="F69" s="20" t="n">
        <v>2.17498407</v>
      </c>
      <c r="G69" s="18" t="n">
        <v>35.32634993</v>
      </c>
      <c r="H69" s="20" t="n">
        <v>2.18841106</v>
      </c>
      <c r="I69" s="18" t="s">
        <v>349</v>
      </c>
      <c r="J69" s="20" t="s">
        <v>349</v>
      </c>
      <c r="K69" s="18" t="n">
        <v>0</v>
      </c>
      <c r="L69" s="20" t="n">
        <v>0</v>
      </c>
      <c r="M69" s="18" t="n">
        <v>0</v>
      </c>
      <c r="N69" s="20" t="n">
        <v>0</v>
      </c>
      <c r="O69" s="18" t="n">
        <v>0</v>
      </c>
      <c r="P69" s="20" t="n">
        <v>0</v>
      </c>
      <c r="Q69" s="18" t="n">
        <v>0.24581918</v>
      </c>
      <c r="R69" s="20" t="n">
        <v>0.24590796</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66.46994798999999</v>
      </c>
      <c r="F74" s="20" t="n">
        <v>2.68950379</v>
      </c>
      <c r="G74" s="18" t="n">
        <v>22.02951734</v>
      </c>
      <c r="H74" s="20" t="n">
        <v>2.15500923</v>
      </c>
      <c r="I74" s="18" t="s">
        <v>349</v>
      </c>
      <c r="J74" s="20" t="s">
        <v>349</v>
      </c>
      <c r="K74" s="18" t="n">
        <v>4.13695298</v>
      </c>
      <c r="L74" s="20" t="n">
        <v>1.15725567</v>
      </c>
      <c r="M74" s="18" t="n">
        <v>0</v>
      </c>
      <c r="N74" s="20" t="n">
        <v>0</v>
      </c>
      <c r="O74" s="18" t="n">
        <v>0</v>
      </c>
      <c r="P74" s="20" t="n">
        <v>0</v>
      </c>
      <c r="Q74" s="18" t="n">
        <v>7.36358169</v>
      </c>
      <c r="R74" s="20" t="n">
        <v>1.54428671</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43.81620859</v>
      </c>
      <c r="F78" s="20" t="n">
        <v>2.59762885</v>
      </c>
      <c r="G78" s="18" t="n">
        <v>56.18379141</v>
      </c>
      <c r="H78" s="20" t="n">
        <v>2.59762885</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(647.0/B79*100)</f>
        <v/>
      </c>
      <c r="D79" s="19" t="n">
        <v>140</v>
      </c>
      <c r="E79" s="18" t="n">
        <v>51.29621374</v>
      </c>
      <c r="F79" s="20" t="n">
        <v>4.34589904</v>
      </c>
      <c r="G79" s="18" t="n">
        <v>41.80657612</v>
      </c>
      <c r="H79" s="20" t="n">
        <v>4.20516465</v>
      </c>
      <c r="I79" s="18" t="s">
        <v>349</v>
      </c>
      <c r="J79" s="20" t="s">
        <v>349</v>
      </c>
      <c r="K79" s="18" t="n">
        <v>1.25109934</v>
      </c>
      <c r="L79" s="20" t="n">
        <v>0.72163942</v>
      </c>
      <c r="M79" s="18" t="n">
        <v>0</v>
      </c>
      <c r="N79" s="20" t="n">
        <v>0</v>
      </c>
      <c r="O79" s="18" t="n">
        <v>0</v>
      </c>
      <c r="P79" s="20" t="n">
        <v>0</v>
      </c>
      <c r="Q79" s="18" t="n">
        <v>5.64611081</v>
      </c>
      <c r="R79" s="20" t="n">
        <v>2.21869097</v>
      </c>
    </row>
    <row r="80" spans="1:18">
      <c r="A80" s="15" t="s">
        <v>422</v>
      </c>
      <c r="B80" s="17" t="n">
        <v>3798</v>
      </c>
      <c r="C80" s="18">
        <f>(3156.0/B80*100)</f>
        <v/>
      </c>
      <c r="D80" s="19" t="n">
        <v>642</v>
      </c>
      <c r="E80" s="18" t="n">
        <v>59.22454011</v>
      </c>
      <c r="F80" s="20" t="n">
        <v>2.74491378</v>
      </c>
      <c r="G80" s="18" t="n">
        <v>40.55891368</v>
      </c>
      <c r="H80" s="20" t="n">
        <v>2.74955482</v>
      </c>
      <c r="I80" s="18" t="s">
        <v>349</v>
      </c>
      <c r="J80" s="20" t="s">
        <v>349</v>
      </c>
      <c r="K80" s="18" t="n">
        <v>0</v>
      </c>
      <c r="L80" s="20" t="n">
        <v>0</v>
      </c>
      <c r="M80" s="18" t="n">
        <v>0</v>
      </c>
      <c r="N80" s="20" t="n">
        <v>0</v>
      </c>
      <c r="O80" s="18" t="n">
        <v>0</v>
      </c>
      <c r="P80" s="20" t="n">
        <v>0</v>
      </c>
      <c r="Q80" s="18" t="n">
        <v>0.21654621</v>
      </c>
      <c r="R80" s="20" t="n">
        <v>0.15227224</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24.70662618</v>
      </c>
      <c r="F44" s="20" t="n">
        <v>2.63369006</v>
      </c>
      <c r="G44" s="18" t="n">
        <v>61.57510875</v>
      </c>
      <c r="H44" s="20" t="n">
        <v>2.8111404</v>
      </c>
      <c r="I44" s="18" t="s">
        <v>349</v>
      </c>
      <c r="J44" s="20" t="s">
        <v>349</v>
      </c>
      <c r="K44" s="18" t="n">
        <v>3.04591681</v>
      </c>
      <c r="L44" s="20" t="n">
        <v>0.91442716</v>
      </c>
      <c r="M44" s="18" t="n">
        <v>0</v>
      </c>
      <c r="N44" s="20" t="n">
        <v>0</v>
      </c>
      <c r="O44" s="18" t="n">
        <v>0</v>
      </c>
      <c r="P44" s="20" t="n">
        <v>0</v>
      </c>
      <c r="Q44" s="18" t="n">
        <v>10.67234825</v>
      </c>
      <c r="R44" s="20" t="n">
        <v>1.75029425</v>
      </c>
    </row>
    <row r="45" spans="1:18">
      <c r="A45" s="15" t="s">
        <v>387</v>
      </c>
      <c r="B45" s="17" t="n">
        <v>2849</v>
      </c>
      <c r="C45" s="18">
        <f>(2347.0/B45*100)</f>
        <v/>
      </c>
      <c r="D45" s="19" t="n">
        <v>502</v>
      </c>
      <c r="E45" s="18" t="n">
        <v>39.39118966</v>
      </c>
      <c r="F45" s="20" t="n">
        <v>2.9080427</v>
      </c>
      <c r="G45" s="18" t="n">
        <v>50.64315937</v>
      </c>
      <c r="H45" s="20" t="n">
        <v>2.79042201</v>
      </c>
      <c r="I45" s="18" t="s">
        <v>349</v>
      </c>
      <c r="J45" s="20" t="s">
        <v>349</v>
      </c>
      <c r="K45" s="18" t="n">
        <v>5.01013488</v>
      </c>
      <c r="L45" s="20" t="n">
        <v>1.13520843</v>
      </c>
      <c r="M45" s="18" t="n">
        <v>0</v>
      </c>
      <c r="N45" s="20" t="n">
        <v>0</v>
      </c>
      <c r="O45" s="18" t="n">
        <v>0</v>
      </c>
      <c r="P45" s="20" t="n">
        <v>0</v>
      </c>
      <c r="Q45" s="18" t="n">
        <v>4.95551609</v>
      </c>
      <c r="R45" s="20" t="n">
        <v>1.23119182</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22.02347642</v>
      </c>
      <c r="F49" s="20" t="n">
        <v>1.95520986</v>
      </c>
      <c r="G49" s="18" t="n">
        <v>67.08184443</v>
      </c>
      <c r="H49" s="20" t="n">
        <v>2.83626875</v>
      </c>
      <c r="I49" s="18" t="s">
        <v>349</v>
      </c>
      <c r="J49" s="20" t="s">
        <v>349</v>
      </c>
      <c r="K49" s="18" t="n">
        <v>2.74888759</v>
      </c>
      <c r="L49" s="20" t="n">
        <v>0.79125448</v>
      </c>
      <c r="M49" s="18" t="n">
        <v>0</v>
      </c>
      <c r="N49" s="20" t="n">
        <v>0</v>
      </c>
      <c r="O49" s="18" t="n">
        <v>0</v>
      </c>
      <c r="P49" s="20" t="n">
        <v>0</v>
      </c>
      <c r="Q49" s="18" t="n">
        <v>8.145791559999999</v>
      </c>
      <c r="R49" s="20" t="n">
        <v>1.59918895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29.66640616</v>
      </c>
      <c r="F55" s="20" t="n">
        <v>2.21127979</v>
      </c>
      <c r="G55" s="18" t="n">
        <v>54.54353541</v>
      </c>
      <c r="H55" s="20" t="n">
        <v>2.57712815</v>
      </c>
      <c r="I55" s="18" t="s">
        <v>349</v>
      </c>
      <c r="J55" s="20" t="s">
        <v>349</v>
      </c>
      <c r="K55" s="18" t="n">
        <v>1.81882126</v>
      </c>
      <c r="L55" s="20" t="n">
        <v>0.60565913</v>
      </c>
      <c r="M55" s="18" t="n">
        <v>0</v>
      </c>
      <c r="N55" s="20" t="n">
        <v>0</v>
      </c>
      <c r="O55" s="18" t="n">
        <v>0</v>
      </c>
      <c r="P55" s="20" t="n">
        <v>0</v>
      </c>
      <c r="Q55" s="18" t="n">
        <v>13.97123716</v>
      </c>
      <c r="R55" s="20" t="n">
        <v>1.77375074</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37.18636</v>
      </c>
      <c r="F57" s="20" t="n">
        <v>2.67647127</v>
      </c>
      <c r="G57" s="18" t="n">
        <v>58.37126361</v>
      </c>
      <c r="H57" s="20" t="n">
        <v>2.70043408</v>
      </c>
      <c r="I57" s="18" t="s">
        <v>349</v>
      </c>
      <c r="J57" s="20" t="s">
        <v>349</v>
      </c>
      <c r="K57" s="18" t="n">
        <v>1.32732558</v>
      </c>
      <c r="L57" s="20" t="n">
        <v>0.58493618</v>
      </c>
      <c r="M57" s="18" t="n">
        <v>0</v>
      </c>
      <c r="N57" s="20" t="n">
        <v>0</v>
      </c>
      <c r="O57" s="18" t="n">
        <v>0</v>
      </c>
      <c r="P57" s="20" t="n">
        <v>0</v>
      </c>
      <c r="Q57" s="18" t="n">
        <v>3.11505081</v>
      </c>
      <c r="R57" s="20" t="n">
        <v>0.85628969</v>
      </c>
    </row>
    <row r="58" spans="1:18">
      <c r="A58" s="15" t="s">
        <v>400</v>
      </c>
      <c r="B58" s="17" t="n">
        <v>3530</v>
      </c>
      <c r="C58" s="18">
        <f>(2954.0/B58*100)</f>
        <v/>
      </c>
      <c r="D58" s="19" t="n">
        <v>576</v>
      </c>
      <c r="E58" s="18" t="n">
        <v>29.40374256</v>
      </c>
      <c r="F58" s="20" t="n">
        <v>1.71487117</v>
      </c>
      <c r="G58" s="18" t="n">
        <v>63.49072518</v>
      </c>
      <c r="H58" s="20" t="n">
        <v>2.12003278</v>
      </c>
      <c r="I58" s="18" t="s">
        <v>349</v>
      </c>
      <c r="J58" s="20" t="s">
        <v>349</v>
      </c>
      <c r="K58" s="18" t="n">
        <v>3.03485187</v>
      </c>
      <c r="L58" s="20" t="n">
        <v>0.87924773</v>
      </c>
      <c r="M58" s="18" t="n">
        <v>0</v>
      </c>
      <c r="N58" s="20" t="n">
        <v>0</v>
      </c>
      <c r="O58" s="18" t="n">
        <v>0</v>
      </c>
      <c r="P58" s="20" t="n">
        <v>0</v>
      </c>
      <c r="Q58" s="18" t="n">
        <v>4.0706804</v>
      </c>
      <c r="R58" s="20" t="n">
        <v>0.93843968</v>
      </c>
    </row>
    <row r="59" spans="1:18">
      <c r="A59" s="15" t="s">
        <v>401</v>
      </c>
      <c r="B59" s="17" t="n">
        <v>2548</v>
      </c>
      <c r="C59" s="18">
        <f>(2153.0/B59*100)</f>
        <v/>
      </c>
      <c r="D59" s="19" t="n">
        <v>395</v>
      </c>
      <c r="E59" s="18" t="n">
        <v>32.16587147</v>
      </c>
      <c r="F59" s="20" t="n">
        <v>2.84065067</v>
      </c>
      <c r="G59" s="18" t="n">
        <v>59.43204122</v>
      </c>
      <c r="H59" s="20" t="n">
        <v>3.07638681</v>
      </c>
      <c r="I59" s="18" t="s">
        <v>349</v>
      </c>
      <c r="J59" s="20" t="s">
        <v>349</v>
      </c>
      <c r="K59" s="18" t="n">
        <v>0.80670958</v>
      </c>
      <c r="L59" s="20" t="n">
        <v>0.40008022</v>
      </c>
      <c r="M59" s="18" t="n">
        <v>0.16944225</v>
      </c>
      <c r="N59" s="20" t="n">
        <v>0.17243012</v>
      </c>
      <c r="O59" s="18" t="n">
        <v>0</v>
      </c>
      <c r="P59" s="20" t="n">
        <v>0</v>
      </c>
      <c r="Q59" s="18" t="n">
        <v>7.42593547</v>
      </c>
      <c r="R59" s="20" t="n">
        <v>1.48888402</v>
      </c>
    </row>
    <row r="60" spans="1:18">
      <c r="A60" s="15" t="s">
        <v>402</v>
      </c>
      <c r="B60" s="17" t="n">
        <v>2095</v>
      </c>
      <c r="C60" s="18">
        <f>(1739.0/B60*100)</f>
        <v/>
      </c>
      <c r="D60" s="19" t="n">
        <v>356</v>
      </c>
      <c r="E60" s="18" t="n">
        <v>34.88300343</v>
      </c>
      <c r="F60" s="20" t="n">
        <v>2.69184624</v>
      </c>
      <c r="G60" s="18" t="n">
        <v>53.03667967</v>
      </c>
      <c r="H60" s="20" t="n">
        <v>2.83038958</v>
      </c>
      <c r="I60" s="18" t="s">
        <v>349</v>
      </c>
      <c r="J60" s="20" t="s">
        <v>349</v>
      </c>
      <c r="K60" s="18" t="n">
        <v>4.29884174</v>
      </c>
      <c r="L60" s="20" t="n">
        <v>1.0364587</v>
      </c>
      <c r="M60" s="18" t="n">
        <v>0.6039928</v>
      </c>
      <c r="N60" s="20" t="n">
        <v>0.58578679</v>
      </c>
      <c r="O60" s="18" t="n">
        <v>0</v>
      </c>
      <c r="P60" s="20" t="n">
        <v>0</v>
      </c>
      <c r="Q60" s="18" t="n">
        <v>7.17748235</v>
      </c>
      <c r="R60" s="20" t="n">
        <v>1.50180024</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30.89943008</v>
      </c>
      <c r="F63" s="20" t="n">
        <v>2.12933624</v>
      </c>
      <c r="G63" s="18" t="n">
        <v>45.48327887</v>
      </c>
      <c r="H63" s="20" t="n">
        <v>2.0757823</v>
      </c>
      <c r="I63" s="18" t="s">
        <v>349</v>
      </c>
      <c r="J63" s="20" t="s">
        <v>349</v>
      </c>
      <c r="K63" s="18" t="n">
        <v>4.42564192</v>
      </c>
      <c r="L63" s="20" t="n">
        <v>0.9486797300000001</v>
      </c>
      <c r="M63" s="18" t="n">
        <v>0</v>
      </c>
      <c r="N63" s="20" t="n">
        <v>0</v>
      </c>
      <c r="O63" s="18" t="n">
        <v>0</v>
      </c>
      <c r="P63" s="20" t="n">
        <v>0</v>
      </c>
      <c r="Q63" s="18" t="n">
        <v>19.19164914</v>
      </c>
      <c r="R63" s="20" t="n">
        <v>1.92998031</v>
      </c>
    </row>
    <row r="64" spans="1:18">
      <c r="A64" s="15" t="s">
        <v>406</v>
      </c>
      <c r="B64" s="17" t="n">
        <v>1844</v>
      </c>
      <c r="C64" s="18">
        <f>(1556.0/B64*100)</f>
        <v/>
      </c>
      <c r="D64" s="19" t="n">
        <v>288</v>
      </c>
      <c r="E64" s="18" t="n">
        <v>15.87617188</v>
      </c>
      <c r="F64" s="20" t="n">
        <v>2.31920868</v>
      </c>
      <c r="G64" s="18" t="n">
        <v>76.42622734</v>
      </c>
      <c r="H64" s="20" t="n">
        <v>2.86808789</v>
      </c>
      <c r="I64" s="18" t="s">
        <v>349</v>
      </c>
      <c r="J64" s="20" t="s">
        <v>349</v>
      </c>
      <c r="K64" s="18" t="n">
        <v>3.76066858</v>
      </c>
      <c r="L64" s="20" t="n">
        <v>1.16130756</v>
      </c>
      <c r="M64" s="18" t="n">
        <v>0</v>
      </c>
      <c r="N64" s="20" t="n">
        <v>0</v>
      </c>
      <c r="O64" s="18" t="n">
        <v>0</v>
      </c>
      <c r="P64" s="20" t="n">
        <v>0</v>
      </c>
      <c r="Q64" s="18" t="n">
        <v>3.9369322</v>
      </c>
      <c r="R64" s="20" t="n">
        <v>1.08731069</v>
      </c>
    </row>
    <row r="65" spans="1:18">
      <c r="A65" s="15" t="s">
        <v>407</v>
      </c>
      <c r="B65" s="17" t="n">
        <v>2691</v>
      </c>
      <c r="C65" s="18">
        <f>(2266.0/B65*100)</f>
        <v/>
      </c>
      <c r="D65" s="19" t="n">
        <v>425</v>
      </c>
      <c r="E65" s="18" t="n">
        <v>20.65785841</v>
      </c>
      <c r="F65" s="20" t="n">
        <v>2.03422405</v>
      </c>
      <c r="G65" s="18" t="n">
        <v>64.84826627</v>
      </c>
      <c r="H65" s="20" t="n">
        <v>2.57456508</v>
      </c>
      <c r="I65" s="18" t="s">
        <v>349</v>
      </c>
      <c r="J65" s="20" t="s">
        <v>349</v>
      </c>
      <c r="K65" s="18" t="n">
        <v>3.57755249</v>
      </c>
      <c r="L65" s="20" t="n">
        <v>0.9690809500000001</v>
      </c>
      <c r="M65" s="18" t="n">
        <v>0</v>
      </c>
      <c r="N65" s="20" t="n">
        <v>0</v>
      </c>
      <c r="O65" s="18" t="n">
        <v>0</v>
      </c>
      <c r="P65" s="20" t="n">
        <v>0</v>
      </c>
      <c r="Q65" s="18" t="n">
        <v>10.91632283</v>
      </c>
      <c r="R65" s="20" t="n">
        <v>1.57070216</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35.87584525</v>
      </c>
      <c r="F69" s="20" t="n">
        <v>2.45901401</v>
      </c>
      <c r="G69" s="18" t="n">
        <v>63.89389538</v>
      </c>
      <c r="H69" s="20" t="n">
        <v>2.48690889</v>
      </c>
      <c r="I69" s="18" t="s">
        <v>349</v>
      </c>
      <c r="J69" s="20" t="s">
        <v>349</v>
      </c>
      <c r="K69" s="18" t="n">
        <v>0</v>
      </c>
      <c r="L69" s="20" t="n">
        <v>0</v>
      </c>
      <c r="M69" s="18" t="n">
        <v>0</v>
      </c>
      <c r="N69" s="20" t="n">
        <v>0</v>
      </c>
      <c r="O69" s="18" t="n">
        <v>0</v>
      </c>
      <c r="P69" s="20" t="n">
        <v>0</v>
      </c>
      <c r="Q69" s="18" t="n">
        <v>0.23025938</v>
      </c>
      <c r="R69" s="20" t="n">
        <v>0.23150734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25.88157993</v>
      </c>
      <c r="F74" s="20" t="n">
        <v>2.77668699</v>
      </c>
      <c r="G74" s="18" t="n">
        <v>63.16922664</v>
      </c>
      <c r="H74" s="20" t="n">
        <v>2.65016131</v>
      </c>
      <c r="I74" s="18" t="s">
        <v>349</v>
      </c>
      <c r="J74" s="20" t="s">
        <v>349</v>
      </c>
      <c r="K74" s="18" t="n">
        <v>4.86981181</v>
      </c>
      <c r="L74" s="20" t="n">
        <v>1.25011897</v>
      </c>
      <c r="M74" s="18" t="n">
        <v>0</v>
      </c>
      <c r="N74" s="20" t="n">
        <v>0</v>
      </c>
      <c r="O74" s="18" t="n">
        <v>0</v>
      </c>
      <c r="P74" s="20" t="n">
        <v>0</v>
      </c>
      <c r="Q74" s="18" t="n">
        <v>6.07938162</v>
      </c>
      <c r="R74" s="20" t="n">
        <v>1.30720846</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27.19754745</v>
      </c>
      <c r="F78" s="20" t="n">
        <v>2.189675</v>
      </c>
      <c r="G78" s="18" t="n">
        <v>70.99209312000001</v>
      </c>
      <c r="H78" s="20" t="n">
        <v>2.35007896</v>
      </c>
      <c r="I78" s="18" t="s">
        <v>349</v>
      </c>
      <c r="J78" s="20" t="s">
        <v>349</v>
      </c>
      <c r="K78" s="18" t="n">
        <v>0</v>
      </c>
      <c r="L78" s="20" t="n">
        <v>0</v>
      </c>
      <c r="M78" s="18" t="n">
        <v>0</v>
      </c>
      <c r="N78" s="20" t="n">
        <v>0</v>
      </c>
      <c r="O78" s="18" t="n">
        <v>0</v>
      </c>
      <c r="P78" s="20" t="n">
        <v>0</v>
      </c>
      <c r="Q78" s="18" t="n">
        <v>1.81035943</v>
      </c>
      <c r="R78" s="20" t="n">
        <v>0.82594416</v>
      </c>
    </row>
    <row customHeight="1" ht="25" r="79" spans="1:18">
      <c r="A79" s="15" t="s">
        <v>421</v>
      </c>
      <c r="B79" s="17" t="n">
        <v>787</v>
      </c>
      <c r="C79" s="18">
        <f>(647.0/B79*100)</f>
        <v/>
      </c>
      <c r="D79" s="19" t="n">
        <v>140</v>
      </c>
      <c r="E79" s="18" t="n">
        <v>13.76740003</v>
      </c>
      <c r="F79" s="20" t="n">
        <v>2.80144625</v>
      </c>
      <c r="G79" s="18" t="n">
        <v>76.99250957</v>
      </c>
      <c r="H79" s="20" t="n">
        <v>4.48577822</v>
      </c>
      <c r="I79" s="18" t="s">
        <v>349</v>
      </c>
      <c r="J79" s="20" t="s">
        <v>349</v>
      </c>
      <c r="K79" s="18" t="n">
        <v>3.6284045</v>
      </c>
      <c r="L79" s="20" t="n">
        <v>1.44735768</v>
      </c>
      <c r="M79" s="18" t="n">
        <v>0</v>
      </c>
      <c r="N79" s="20" t="n">
        <v>0</v>
      </c>
      <c r="O79" s="18" t="n">
        <v>0</v>
      </c>
      <c r="P79" s="20" t="n">
        <v>0</v>
      </c>
      <c r="Q79" s="18" t="n">
        <v>5.6116859</v>
      </c>
      <c r="R79" s="20" t="n">
        <v>1.92827954</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71.84871961</v>
      </c>
      <c r="F44" s="20" t="n">
        <v>2.82228022</v>
      </c>
      <c r="G44" s="18" t="n">
        <v>8.182912679999999</v>
      </c>
      <c r="H44" s="20" t="n">
        <v>1.65898834</v>
      </c>
      <c r="I44" s="18" t="s">
        <v>349</v>
      </c>
      <c r="J44" s="20" t="s">
        <v>349</v>
      </c>
      <c r="K44" s="18" t="n">
        <v>3.82461986</v>
      </c>
      <c r="L44" s="20" t="n">
        <v>1.05134666</v>
      </c>
      <c r="M44" s="18" t="n">
        <v>0</v>
      </c>
      <c r="N44" s="20" t="n">
        <v>0</v>
      </c>
      <c r="O44" s="18" t="n">
        <v>0</v>
      </c>
      <c r="P44" s="20" t="n">
        <v>0</v>
      </c>
      <c r="Q44" s="18" t="n">
        <v>16.14374785</v>
      </c>
      <c r="R44" s="20" t="n">
        <v>1.97280127</v>
      </c>
    </row>
    <row r="45" spans="1:18">
      <c r="A45" s="15" t="s">
        <v>387</v>
      </c>
      <c r="B45" s="17" t="n">
        <v>2849</v>
      </c>
      <c r="C45" s="18">
        <f>(2347.0/B45*100)</f>
        <v/>
      </c>
      <c r="D45" s="19" t="n">
        <v>502</v>
      </c>
      <c r="E45" s="18" t="n">
        <v>81.54023961</v>
      </c>
      <c r="F45" s="20" t="n">
        <v>1.72707642</v>
      </c>
      <c r="G45" s="18" t="n">
        <v>5.77787191</v>
      </c>
      <c r="H45" s="20" t="n">
        <v>1.12074602</v>
      </c>
      <c r="I45" s="18" t="s">
        <v>349</v>
      </c>
      <c r="J45" s="20" t="s">
        <v>349</v>
      </c>
      <c r="K45" s="18" t="n">
        <v>5.17591588</v>
      </c>
      <c r="L45" s="20" t="n">
        <v>1.14687597</v>
      </c>
      <c r="M45" s="18" t="n">
        <v>0</v>
      </c>
      <c r="N45" s="20" t="n">
        <v>0</v>
      </c>
      <c r="O45" s="18" t="n">
        <v>0</v>
      </c>
      <c r="P45" s="20" t="n">
        <v>0</v>
      </c>
      <c r="Q45" s="18" t="n">
        <v>7.50597259</v>
      </c>
      <c r="R45" s="20" t="n">
        <v>1.31377651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71.11916278</v>
      </c>
      <c r="F49" s="20" t="n">
        <v>2.65185356</v>
      </c>
      <c r="G49" s="18" t="n">
        <v>9.494096069999999</v>
      </c>
      <c r="H49" s="20" t="n">
        <v>1.86855807</v>
      </c>
      <c r="I49" s="18" t="s">
        <v>349</v>
      </c>
      <c r="J49" s="20" t="s">
        <v>349</v>
      </c>
      <c r="K49" s="18" t="n">
        <v>3.07355998</v>
      </c>
      <c r="L49" s="20" t="n">
        <v>0.76739157</v>
      </c>
      <c r="M49" s="18" t="n">
        <v>0</v>
      </c>
      <c r="N49" s="20" t="n">
        <v>0</v>
      </c>
      <c r="O49" s="18" t="n">
        <v>0</v>
      </c>
      <c r="P49" s="20" t="n">
        <v>0</v>
      </c>
      <c r="Q49" s="18" t="n">
        <v>16.31318117</v>
      </c>
      <c r="R49" s="20" t="n">
        <v>1.78567771</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66.03118741</v>
      </c>
      <c r="F55" s="20" t="n">
        <v>2.6229948</v>
      </c>
      <c r="G55" s="18" t="n">
        <v>11.88021989</v>
      </c>
      <c r="H55" s="20" t="n">
        <v>1.57079133</v>
      </c>
      <c r="I55" s="18" t="s">
        <v>349</v>
      </c>
      <c r="J55" s="20" t="s">
        <v>349</v>
      </c>
      <c r="K55" s="18" t="n">
        <v>1.81882126</v>
      </c>
      <c r="L55" s="20" t="n">
        <v>0.60565913</v>
      </c>
      <c r="M55" s="18" t="n">
        <v>0</v>
      </c>
      <c r="N55" s="20" t="n">
        <v>0</v>
      </c>
      <c r="O55" s="18" t="n">
        <v>0</v>
      </c>
      <c r="P55" s="20" t="n">
        <v>0</v>
      </c>
      <c r="Q55" s="18" t="n">
        <v>20.26977143</v>
      </c>
      <c r="R55" s="20" t="n">
        <v>2.11918131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84.71346817</v>
      </c>
      <c r="F57" s="20" t="n">
        <v>1.79069432</v>
      </c>
      <c r="G57" s="18" t="n">
        <v>10.24947956</v>
      </c>
      <c r="H57" s="20" t="n">
        <v>1.60217602</v>
      </c>
      <c r="I57" s="18" t="s">
        <v>349</v>
      </c>
      <c r="J57" s="20" t="s">
        <v>349</v>
      </c>
      <c r="K57" s="18" t="n">
        <v>1.32732558</v>
      </c>
      <c r="L57" s="20" t="n">
        <v>0.58493618</v>
      </c>
      <c r="M57" s="18" t="n">
        <v>0</v>
      </c>
      <c r="N57" s="20" t="n">
        <v>0</v>
      </c>
      <c r="O57" s="18" t="n">
        <v>0</v>
      </c>
      <c r="P57" s="20" t="n">
        <v>0</v>
      </c>
      <c r="Q57" s="18" t="n">
        <v>3.70972669</v>
      </c>
      <c r="R57" s="20" t="n">
        <v>0.86025165</v>
      </c>
    </row>
    <row r="58" spans="1:18">
      <c r="A58" s="15" t="s">
        <v>400</v>
      </c>
      <c r="B58" s="17" t="n">
        <v>3530</v>
      </c>
      <c r="C58" s="18">
        <f>(2954.0/B58*100)</f>
        <v/>
      </c>
      <c r="D58" s="19" t="n">
        <v>576</v>
      </c>
      <c r="E58" s="18" t="n">
        <v>84.32078826999999</v>
      </c>
      <c r="F58" s="20" t="n">
        <v>1.85914854</v>
      </c>
      <c r="G58" s="18" t="n">
        <v>6.27725713</v>
      </c>
      <c r="H58" s="20" t="n">
        <v>1.23295119</v>
      </c>
      <c r="I58" s="18" t="s">
        <v>349</v>
      </c>
      <c r="J58" s="20" t="s">
        <v>349</v>
      </c>
      <c r="K58" s="18" t="n">
        <v>3.0870574</v>
      </c>
      <c r="L58" s="20" t="n">
        <v>0.88177189</v>
      </c>
      <c r="M58" s="18" t="n">
        <v>0</v>
      </c>
      <c r="N58" s="20" t="n">
        <v>0</v>
      </c>
      <c r="O58" s="18" t="n">
        <v>0</v>
      </c>
      <c r="P58" s="20" t="n">
        <v>0</v>
      </c>
      <c r="Q58" s="18" t="n">
        <v>6.31489721</v>
      </c>
      <c r="R58" s="20" t="n">
        <v>1.27400347</v>
      </c>
    </row>
    <row r="59" spans="1:18">
      <c r="A59" s="15" t="s">
        <v>401</v>
      </c>
      <c r="B59" s="17" t="n">
        <v>2548</v>
      </c>
      <c r="C59" s="18">
        <f>(2153.0/B59*100)</f>
        <v/>
      </c>
      <c r="D59" s="19" t="n">
        <v>395</v>
      </c>
      <c r="E59" s="18" t="n">
        <v>85.00164737</v>
      </c>
      <c r="F59" s="20" t="n">
        <v>1.97824289</v>
      </c>
      <c r="G59" s="18" t="n">
        <v>5.81723362</v>
      </c>
      <c r="H59" s="20" t="n">
        <v>1.31050437</v>
      </c>
      <c r="I59" s="18" t="s">
        <v>349</v>
      </c>
      <c r="J59" s="20" t="s">
        <v>349</v>
      </c>
      <c r="K59" s="18" t="n">
        <v>0.80670958</v>
      </c>
      <c r="L59" s="20" t="n">
        <v>0.40008022</v>
      </c>
      <c r="M59" s="18" t="n">
        <v>0.16944225</v>
      </c>
      <c r="N59" s="20" t="n">
        <v>0.17243012</v>
      </c>
      <c r="O59" s="18" t="n">
        <v>0</v>
      </c>
      <c r="P59" s="20" t="n">
        <v>0</v>
      </c>
      <c r="Q59" s="18" t="n">
        <v>8.20496717</v>
      </c>
      <c r="R59" s="20" t="n">
        <v>1.44991245</v>
      </c>
    </row>
    <row r="60" spans="1:18">
      <c r="A60" s="15" t="s">
        <v>402</v>
      </c>
      <c r="B60" s="17" t="n">
        <v>2095</v>
      </c>
      <c r="C60" s="18">
        <f>(1739.0/B60*100)</f>
        <v/>
      </c>
      <c r="D60" s="19" t="n">
        <v>356</v>
      </c>
      <c r="E60" s="18" t="n">
        <v>75.6623354</v>
      </c>
      <c r="F60" s="20" t="n">
        <v>2.53642002</v>
      </c>
      <c r="G60" s="18" t="n">
        <v>8.97297243</v>
      </c>
      <c r="H60" s="20" t="n">
        <v>1.56484188</v>
      </c>
      <c r="I60" s="18" t="s">
        <v>349</v>
      </c>
      <c r="J60" s="20" t="s">
        <v>349</v>
      </c>
      <c r="K60" s="18" t="n">
        <v>4.29884174</v>
      </c>
      <c r="L60" s="20" t="n">
        <v>1.0364587</v>
      </c>
      <c r="M60" s="18" t="n">
        <v>0.6039928</v>
      </c>
      <c r="N60" s="20" t="n">
        <v>0.58578679</v>
      </c>
      <c r="O60" s="18" t="n">
        <v>0</v>
      </c>
      <c r="P60" s="20" t="n">
        <v>0</v>
      </c>
      <c r="Q60" s="18" t="n">
        <v>10.46185763</v>
      </c>
      <c r="R60" s="20" t="n">
        <v>1.87605446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65.46920362</v>
      </c>
      <c r="F63" s="20" t="n">
        <v>2.32423187</v>
      </c>
      <c r="G63" s="18" t="n">
        <v>5.26783955</v>
      </c>
      <c r="H63" s="20" t="n">
        <v>1.20293216</v>
      </c>
      <c r="I63" s="18" t="s">
        <v>349</v>
      </c>
      <c r="J63" s="20" t="s">
        <v>349</v>
      </c>
      <c r="K63" s="18" t="n">
        <v>4.42564192</v>
      </c>
      <c r="L63" s="20" t="n">
        <v>0.9486797300000001</v>
      </c>
      <c r="M63" s="18" t="n">
        <v>0</v>
      </c>
      <c r="N63" s="20" t="n">
        <v>0</v>
      </c>
      <c r="O63" s="18" t="n">
        <v>0</v>
      </c>
      <c r="P63" s="20" t="n">
        <v>0</v>
      </c>
      <c r="Q63" s="18" t="n">
        <v>24.83731492</v>
      </c>
      <c r="R63" s="20" t="n">
        <v>2.24527859</v>
      </c>
    </row>
    <row r="64" spans="1:18">
      <c r="A64" s="15" t="s">
        <v>406</v>
      </c>
      <c r="B64" s="17" t="n">
        <v>1844</v>
      </c>
      <c r="C64" s="18">
        <f>(1556.0/B64*100)</f>
        <v/>
      </c>
      <c r="D64" s="19" t="n">
        <v>288</v>
      </c>
      <c r="E64" s="18" t="n">
        <v>76.99600812</v>
      </c>
      <c r="F64" s="20" t="n">
        <v>2.53616624</v>
      </c>
      <c r="G64" s="18" t="n">
        <v>11.44620969</v>
      </c>
      <c r="H64" s="20" t="n">
        <v>1.9415053</v>
      </c>
      <c r="I64" s="18" t="s">
        <v>349</v>
      </c>
      <c r="J64" s="20" t="s">
        <v>349</v>
      </c>
      <c r="K64" s="18" t="n">
        <v>3.76066858</v>
      </c>
      <c r="L64" s="20" t="n">
        <v>1.16130756</v>
      </c>
      <c r="M64" s="18" t="n">
        <v>0</v>
      </c>
      <c r="N64" s="20" t="n">
        <v>0</v>
      </c>
      <c r="O64" s="18" t="n">
        <v>0</v>
      </c>
      <c r="P64" s="20" t="n">
        <v>0</v>
      </c>
      <c r="Q64" s="18" t="n">
        <v>7.79711361</v>
      </c>
      <c r="R64" s="20" t="n">
        <v>1.57954892</v>
      </c>
    </row>
    <row r="65" spans="1:18">
      <c r="A65" s="15" t="s">
        <v>407</v>
      </c>
      <c r="B65" s="17" t="n">
        <v>2691</v>
      </c>
      <c r="C65" s="18">
        <f>(2266.0/B65*100)</f>
        <v/>
      </c>
      <c r="D65" s="19" t="n">
        <v>425</v>
      </c>
      <c r="E65" s="18" t="n">
        <v>67.30308214</v>
      </c>
      <c r="F65" s="20" t="n">
        <v>2.4402884</v>
      </c>
      <c r="G65" s="18" t="n">
        <v>12.73131273</v>
      </c>
      <c r="H65" s="20" t="n">
        <v>1.65697788</v>
      </c>
      <c r="I65" s="18" t="s">
        <v>349</v>
      </c>
      <c r="J65" s="20" t="s">
        <v>349</v>
      </c>
      <c r="K65" s="18" t="n">
        <v>3.57755249</v>
      </c>
      <c r="L65" s="20" t="n">
        <v>0.9690809500000001</v>
      </c>
      <c r="M65" s="18" t="n">
        <v>0</v>
      </c>
      <c r="N65" s="20" t="n">
        <v>0</v>
      </c>
      <c r="O65" s="18" t="n">
        <v>0</v>
      </c>
      <c r="P65" s="20" t="n">
        <v>0</v>
      </c>
      <c r="Q65" s="18" t="n">
        <v>16.38805265</v>
      </c>
      <c r="R65" s="20" t="n">
        <v>1.97250378</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73.57041671</v>
      </c>
      <c r="F69" s="20" t="n">
        <v>2.00988147</v>
      </c>
      <c r="G69" s="18" t="n">
        <v>26.19932391</v>
      </c>
      <c r="H69" s="20" t="n">
        <v>1.98489845</v>
      </c>
      <c r="I69" s="18" t="s">
        <v>349</v>
      </c>
      <c r="J69" s="20" t="s">
        <v>349</v>
      </c>
      <c r="K69" s="18" t="n">
        <v>0</v>
      </c>
      <c r="L69" s="20" t="n">
        <v>0</v>
      </c>
      <c r="M69" s="18" t="n">
        <v>0</v>
      </c>
      <c r="N69" s="20" t="n">
        <v>0</v>
      </c>
      <c r="O69" s="18" t="n">
        <v>0</v>
      </c>
      <c r="P69" s="20" t="n">
        <v>0</v>
      </c>
      <c r="Q69" s="18" t="n">
        <v>0.23025938</v>
      </c>
      <c r="R69" s="20" t="n">
        <v>0.23150734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74.21694191</v>
      </c>
      <c r="F74" s="20" t="n">
        <v>2.84805773</v>
      </c>
      <c r="G74" s="18" t="n">
        <v>8.40417323</v>
      </c>
      <c r="H74" s="20" t="n">
        <v>1.50410887</v>
      </c>
      <c r="I74" s="18" t="s">
        <v>349</v>
      </c>
      <c r="J74" s="20" t="s">
        <v>349</v>
      </c>
      <c r="K74" s="18" t="n">
        <v>6.46172401</v>
      </c>
      <c r="L74" s="20" t="n">
        <v>1.43252669</v>
      </c>
      <c r="M74" s="18" t="n">
        <v>0</v>
      </c>
      <c r="N74" s="20" t="n">
        <v>0</v>
      </c>
      <c r="O74" s="18" t="n">
        <v>0</v>
      </c>
      <c r="P74" s="20" t="n">
        <v>0</v>
      </c>
      <c r="Q74" s="18" t="n">
        <v>10.91716086</v>
      </c>
      <c r="R74" s="20" t="n">
        <v>1.8944189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76.43742926</v>
      </c>
      <c r="F78" s="20" t="n">
        <v>2.02019653</v>
      </c>
      <c r="G78" s="18" t="n">
        <v>21.82982806</v>
      </c>
      <c r="H78" s="20" t="n">
        <v>2.06956902</v>
      </c>
      <c r="I78" s="18" t="s">
        <v>349</v>
      </c>
      <c r="J78" s="20" t="s">
        <v>349</v>
      </c>
      <c r="K78" s="18" t="n">
        <v>0</v>
      </c>
      <c r="L78" s="20" t="n">
        <v>0</v>
      </c>
      <c r="M78" s="18" t="n">
        <v>0</v>
      </c>
      <c r="N78" s="20" t="n">
        <v>0</v>
      </c>
      <c r="O78" s="18" t="n">
        <v>0</v>
      </c>
      <c r="P78" s="20" t="n">
        <v>0</v>
      </c>
      <c r="Q78" s="18" t="n">
        <v>1.73274268</v>
      </c>
      <c r="R78" s="20" t="n">
        <v>0.74579943</v>
      </c>
    </row>
    <row customHeight="1" ht="25" r="79" spans="1:18">
      <c r="A79" s="15" t="s">
        <v>421</v>
      </c>
      <c r="B79" s="17" t="n">
        <v>787</v>
      </c>
      <c r="C79" s="18">
        <f>(647.0/B79*100)</f>
        <v/>
      </c>
      <c r="D79" s="19" t="n">
        <v>140</v>
      </c>
      <c r="E79" s="18" t="n">
        <v>72.15622684</v>
      </c>
      <c r="F79" s="20" t="n">
        <v>3.2210035</v>
      </c>
      <c r="G79" s="18" t="n">
        <v>10.6333177</v>
      </c>
      <c r="H79" s="20" t="n">
        <v>2.53601165</v>
      </c>
      <c r="I79" s="18" t="s">
        <v>349</v>
      </c>
      <c r="J79" s="20" t="s">
        <v>349</v>
      </c>
      <c r="K79" s="18" t="n">
        <v>3.6284045</v>
      </c>
      <c r="L79" s="20" t="n">
        <v>1.44735768</v>
      </c>
      <c r="M79" s="18" t="n">
        <v>0</v>
      </c>
      <c r="N79" s="20" t="n">
        <v>0</v>
      </c>
      <c r="O79" s="18" t="n">
        <v>0</v>
      </c>
      <c r="P79" s="20" t="n">
        <v>0</v>
      </c>
      <c r="Q79" s="18" t="n">
        <v>13.58205096</v>
      </c>
      <c r="R79" s="20" t="n">
        <v>2.64411652</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34.74129501</v>
      </c>
      <c r="F44" s="20" t="n">
        <v>2.79518734</v>
      </c>
      <c r="G44" s="18" t="n">
        <v>3.09810904</v>
      </c>
      <c r="H44" s="20" t="n">
        <v>1.08871167</v>
      </c>
      <c r="I44" s="18" t="s">
        <v>349</v>
      </c>
      <c r="J44" s="20" t="s">
        <v>349</v>
      </c>
      <c r="K44" s="18" t="n">
        <v>4.83483415</v>
      </c>
      <c r="L44" s="20" t="n">
        <v>1.15721935</v>
      </c>
      <c r="M44" s="18" t="n">
        <v>0</v>
      </c>
      <c r="N44" s="20" t="n">
        <v>0</v>
      </c>
      <c r="O44" s="18" t="n">
        <v>0</v>
      </c>
      <c r="P44" s="20" t="n">
        <v>0</v>
      </c>
      <c r="Q44" s="18" t="n">
        <v>57.32576181</v>
      </c>
      <c r="R44" s="20" t="n">
        <v>2.87158926</v>
      </c>
    </row>
    <row r="45" spans="1:18">
      <c r="A45" s="15" t="s">
        <v>387</v>
      </c>
      <c r="B45" s="17" t="n">
        <v>2849</v>
      </c>
      <c r="C45" s="18">
        <f>(2347.0/B45*100)</f>
        <v/>
      </c>
      <c r="D45" s="19" t="n">
        <v>502</v>
      </c>
      <c r="E45" s="18" t="n">
        <v>40.50541382</v>
      </c>
      <c r="F45" s="20" t="n">
        <v>2.32793708</v>
      </c>
      <c r="G45" s="18" t="n">
        <v>0.53021581</v>
      </c>
      <c r="H45" s="20" t="n">
        <v>0.30648184</v>
      </c>
      <c r="I45" s="18" t="s">
        <v>349</v>
      </c>
      <c r="J45" s="20" t="s">
        <v>349</v>
      </c>
      <c r="K45" s="18" t="n">
        <v>5.76178337</v>
      </c>
      <c r="L45" s="20" t="n">
        <v>1.21398754</v>
      </c>
      <c r="M45" s="18" t="n">
        <v>0</v>
      </c>
      <c r="N45" s="20" t="n">
        <v>0</v>
      </c>
      <c r="O45" s="18" t="n">
        <v>0.42882852</v>
      </c>
      <c r="P45" s="20" t="n">
        <v>0.33341202</v>
      </c>
      <c r="Q45" s="18" t="n">
        <v>52.77375847</v>
      </c>
      <c r="R45" s="20" t="n">
        <v>2.29528639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43.71595874</v>
      </c>
      <c r="F49" s="20" t="n">
        <v>2.86826829</v>
      </c>
      <c r="G49" s="18" t="n">
        <v>4.60099023</v>
      </c>
      <c r="H49" s="20" t="n">
        <v>1.39821684</v>
      </c>
      <c r="I49" s="18" t="s">
        <v>349</v>
      </c>
      <c r="J49" s="20" t="s">
        <v>349</v>
      </c>
      <c r="K49" s="18" t="n">
        <v>3.36290386</v>
      </c>
      <c r="L49" s="20" t="n">
        <v>0.73298855</v>
      </c>
      <c r="M49" s="18" t="n">
        <v>0</v>
      </c>
      <c r="N49" s="20" t="n">
        <v>0</v>
      </c>
      <c r="O49" s="18" t="n">
        <v>0</v>
      </c>
      <c r="P49" s="20" t="n">
        <v>0</v>
      </c>
      <c r="Q49" s="18" t="n">
        <v>48.32014717</v>
      </c>
      <c r="R49" s="20" t="n">
        <v>2.86483607</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28.59229869</v>
      </c>
      <c r="F55" s="20" t="n">
        <v>2.45225121</v>
      </c>
      <c r="G55" s="18" t="n">
        <v>5.29658922</v>
      </c>
      <c r="H55" s="20" t="n">
        <v>1.28719033</v>
      </c>
      <c r="I55" s="18" t="s">
        <v>349</v>
      </c>
      <c r="J55" s="20" t="s">
        <v>349</v>
      </c>
      <c r="K55" s="18" t="n">
        <v>1.9894519</v>
      </c>
      <c r="L55" s="20" t="n">
        <v>0.62432677</v>
      </c>
      <c r="M55" s="18" t="n">
        <v>0</v>
      </c>
      <c r="N55" s="20" t="n">
        <v>0</v>
      </c>
      <c r="O55" s="18" t="n">
        <v>0</v>
      </c>
      <c r="P55" s="20" t="n">
        <v>0</v>
      </c>
      <c r="Q55" s="18" t="n">
        <v>64.12166019</v>
      </c>
      <c r="R55" s="20" t="n">
        <v>2.58587118</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81.88678863</v>
      </c>
      <c r="F57" s="20" t="n">
        <v>2.07889072</v>
      </c>
      <c r="G57" s="18" t="n">
        <v>0.8878527000000001</v>
      </c>
      <c r="H57" s="20" t="n">
        <v>0.5234651299999999</v>
      </c>
      <c r="I57" s="18" t="s">
        <v>349</v>
      </c>
      <c r="J57" s="20" t="s">
        <v>349</v>
      </c>
      <c r="K57" s="18" t="n">
        <v>1.32732558</v>
      </c>
      <c r="L57" s="20" t="n">
        <v>0.58493618</v>
      </c>
      <c r="M57" s="18" t="n">
        <v>0</v>
      </c>
      <c r="N57" s="20" t="n">
        <v>0</v>
      </c>
      <c r="O57" s="18" t="n">
        <v>0</v>
      </c>
      <c r="P57" s="20" t="n">
        <v>0</v>
      </c>
      <c r="Q57" s="18" t="n">
        <v>15.89803308</v>
      </c>
      <c r="R57" s="20" t="n">
        <v>1.94155186</v>
      </c>
    </row>
    <row r="58" spans="1:18">
      <c r="A58" s="15" t="s">
        <v>400</v>
      </c>
      <c r="B58" s="17" t="n">
        <v>3530</v>
      </c>
      <c r="C58" s="18">
        <f>(2954.0/B58*100)</f>
        <v/>
      </c>
      <c r="D58" s="19" t="n">
        <v>576</v>
      </c>
      <c r="E58" s="18" t="n">
        <v>62.85363252</v>
      </c>
      <c r="F58" s="20" t="n">
        <v>2.38332065</v>
      </c>
      <c r="G58" s="18" t="n">
        <v>1.46687104</v>
      </c>
      <c r="H58" s="20" t="n">
        <v>0.67192496</v>
      </c>
      <c r="I58" s="18" t="s">
        <v>349</v>
      </c>
      <c r="J58" s="20" t="s">
        <v>349</v>
      </c>
      <c r="K58" s="18" t="n">
        <v>3.17189444</v>
      </c>
      <c r="L58" s="20" t="n">
        <v>0.88610568</v>
      </c>
      <c r="M58" s="18" t="n">
        <v>0</v>
      </c>
      <c r="N58" s="20" t="n">
        <v>0</v>
      </c>
      <c r="O58" s="18" t="n">
        <v>0</v>
      </c>
      <c r="P58" s="20" t="n">
        <v>0</v>
      </c>
      <c r="Q58" s="18" t="n">
        <v>32.507602</v>
      </c>
      <c r="R58" s="20" t="n">
        <v>2.24533021</v>
      </c>
    </row>
    <row r="59" spans="1:18">
      <c r="A59" s="15" t="s">
        <v>401</v>
      </c>
      <c r="B59" s="17" t="n">
        <v>2548</v>
      </c>
      <c r="C59" s="18">
        <f>(2153.0/B59*100)</f>
        <v/>
      </c>
      <c r="D59" s="19" t="n">
        <v>395</v>
      </c>
      <c r="E59" s="18" t="n">
        <v>62.86482251</v>
      </c>
      <c r="F59" s="20" t="n">
        <v>3.08965433</v>
      </c>
      <c r="G59" s="18" t="n">
        <v>0</v>
      </c>
      <c r="H59" s="20" t="n">
        <v>0</v>
      </c>
      <c r="I59" s="18" t="s">
        <v>349</v>
      </c>
      <c r="J59" s="20" t="s">
        <v>349</v>
      </c>
      <c r="K59" s="18" t="n">
        <v>0.80670958</v>
      </c>
      <c r="L59" s="20" t="n">
        <v>0.40008022</v>
      </c>
      <c r="M59" s="18" t="n">
        <v>0.16944225</v>
      </c>
      <c r="N59" s="20" t="n">
        <v>0.17243012</v>
      </c>
      <c r="O59" s="18" t="n">
        <v>0</v>
      </c>
      <c r="P59" s="20" t="n">
        <v>0</v>
      </c>
      <c r="Q59" s="18" t="n">
        <v>36.15902566</v>
      </c>
      <c r="R59" s="20" t="n">
        <v>3.02424213</v>
      </c>
    </row>
    <row r="60" spans="1:18">
      <c r="A60" s="15" t="s">
        <v>402</v>
      </c>
      <c r="B60" s="17" t="n">
        <v>2095</v>
      </c>
      <c r="C60" s="18">
        <f>(1739.0/B60*100)</f>
        <v/>
      </c>
      <c r="D60" s="19" t="n">
        <v>356</v>
      </c>
      <c r="E60" s="18" t="n">
        <v>45.93160447</v>
      </c>
      <c r="F60" s="20" t="n">
        <v>2.84158438</v>
      </c>
      <c r="G60" s="18" t="n">
        <v>1.50798052</v>
      </c>
      <c r="H60" s="20" t="n">
        <v>0.66840394</v>
      </c>
      <c r="I60" s="18" t="s">
        <v>349</v>
      </c>
      <c r="J60" s="20" t="s">
        <v>349</v>
      </c>
      <c r="K60" s="18" t="n">
        <v>4.60493894</v>
      </c>
      <c r="L60" s="20" t="n">
        <v>1.07532976</v>
      </c>
      <c r="M60" s="18" t="n">
        <v>0</v>
      </c>
      <c r="N60" s="20" t="n">
        <v>0</v>
      </c>
      <c r="O60" s="18" t="n">
        <v>0</v>
      </c>
      <c r="P60" s="20" t="n">
        <v>0</v>
      </c>
      <c r="Q60" s="18" t="n">
        <v>47.95547607</v>
      </c>
      <c r="R60" s="20" t="n">
        <v>2.70662162</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27.47015245</v>
      </c>
      <c r="F63" s="20" t="n">
        <v>2.08889694</v>
      </c>
      <c r="G63" s="18" t="n">
        <v>3.99111933</v>
      </c>
      <c r="H63" s="20" t="n">
        <v>1.09449302</v>
      </c>
      <c r="I63" s="18" t="s">
        <v>349</v>
      </c>
      <c r="J63" s="20" t="s">
        <v>349</v>
      </c>
      <c r="K63" s="18" t="n">
        <v>4.60538525</v>
      </c>
      <c r="L63" s="20" t="n">
        <v>0.94756285</v>
      </c>
      <c r="M63" s="18" t="n">
        <v>0</v>
      </c>
      <c r="N63" s="20" t="n">
        <v>0</v>
      </c>
      <c r="O63" s="18" t="n">
        <v>0</v>
      </c>
      <c r="P63" s="20" t="n">
        <v>0</v>
      </c>
      <c r="Q63" s="18" t="n">
        <v>63.93334298</v>
      </c>
      <c r="R63" s="20" t="n">
        <v>2.25523403</v>
      </c>
    </row>
    <row r="64" spans="1:18">
      <c r="A64" s="15" t="s">
        <v>406</v>
      </c>
      <c r="B64" s="17" t="n">
        <v>1844</v>
      </c>
      <c r="C64" s="18">
        <f>(1556.0/B64*100)</f>
        <v/>
      </c>
      <c r="D64" s="19" t="n">
        <v>288</v>
      </c>
      <c r="E64" s="18" t="n">
        <v>56.84162972</v>
      </c>
      <c r="F64" s="20" t="n">
        <v>3.16862221</v>
      </c>
      <c r="G64" s="18" t="n">
        <v>7.78586067</v>
      </c>
      <c r="H64" s="20" t="n">
        <v>1.66382927</v>
      </c>
      <c r="I64" s="18" t="s">
        <v>349</v>
      </c>
      <c r="J64" s="20" t="s">
        <v>349</v>
      </c>
      <c r="K64" s="18" t="n">
        <v>3.76066858</v>
      </c>
      <c r="L64" s="20" t="n">
        <v>1.16130756</v>
      </c>
      <c r="M64" s="18" t="n">
        <v>0</v>
      </c>
      <c r="N64" s="20" t="n">
        <v>0</v>
      </c>
      <c r="O64" s="18" t="n">
        <v>0</v>
      </c>
      <c r="P64" s="20" t="n">
        <v>0</v>
      </c>
      <c r="Q64" s="18" t="n">
        <v>31.61184103</v>
      </c>
      <c r="R64" s="20" t="n">
        <v>3.05439877</v>
      </c>
    </row>
    <row r="65" spans="1:18">
      <c r="A65" s="15" t="s">
        <v>407</v>
      </c>
      <c r="B65" s="17" t="n">
        <v>2691</v>
      </c>
      <c r="C65" s="18">
        <f>(2266.0/B65*100)</f>
        <v/>
      </c>
      <c r="D65" s="19" t="n">
        <v>425</v>
      </c>
      <c r="E65" s="18" t="n">
        <v>35.06662057</v>
      </c>
      <c r="F65" s="20" t="n">
        <v>2.41574722</v>
      </c>
      <c r="G65" s="18" t="n">
        <v>2.57280539</v>
      </c>
      <c r="H65" s="20" t="n">
        <v>0.97670943</v>
      </c>
      <c r="I65" s="18" t="s">
        <v>349</v>
      </c>
      <c r="J65" s="20" t="s">
        <v>349</v>
      </c>
      <c r="K65" s="18" t="n">
        <v>4.40886306</v>
      </c>
      <c r="L65" s="20" t="n">
        <v>1.05585281</v>
      </c>
      <c r="M65" s="18" t="n">
        <v>0</v>
      </c>
      <c r="N65" s="20" t="n">
        <v>0</v>
      </c>
      <c r="O65" s="18" t="n">
        <v>0</v>
      </c>
      <c r="P65" s="20" t="n">
        <v>0</v>
      </c>
      <c r="Q65" s="18" t="n">
        <v>57.95171098</v>
      </c>
      <c r="R65" s="20" t="n">
        <v>2.48631282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76.41600948</v>
      </c>
      <c r="F69" s="20" t="n">
        <v>2.11176289</v>
      </c>
      <c r="G69" s="18" t="n">
        <v>23.12809086</v>
      </c>
      <c r="H69" s="20" t="n">
        <v>2.0787191</v>
      </c>
      <c r="I69" s="18" t="s">
        <v>349</v>
      </c>
      <c r="J69" s="20" t="s">
        <v>349</v>
      </c>
      <c r="K69" s="18" t="n">
        <v>0</v>
      </c>
      <c r="L69" s="20" t="n">
        <v>0</v>
      </c>
      <c r="M69" s="18" t="n">
        <v>0</v>
      </c>
      <c r="N69" s="20" t="n">
        <v>0</v>
      </c>
      <c r="O69" s="18" t="n">
        <v>0</v>
      </c>
      <c r="P69" s="20" t="n">
        <v>0</v>
      </c>
      <c r="Q69" s="18" t="n">
        <v>0.45589966</v>
      </c>
      <c r="R69" s="20" t="n">
        <v>0.32223901</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41.13246105</v>
      </c>
      <c r="F74" s="20" t="n">
        <v>2.45761949</v>
      </c>
      <c r="G74" s="18" t="n">
        <v>1.65209067</v>
      </c>
      <c r="H74" s="20" t="n">
        <v>0.7412482</v>
      </c>
      <c r="I74" s="18" t="s">
        <v>349</v>
      </c>
      <c r="J74" s="20" t="s">
        <v>349</v>
      </c>
      <c r="K74" s="18" t="n">
        <v>7.87460268</v>
      </c>
      <c r="L74" s="20" t="n">
        <v>1.63778349</v>
      </c>
      <c r="M74" s="18" t="n">
        <v>0</v>
      </c>
      <c r="N74" s="20" t="n">
        <v>0</v>
      </c>
      <c r="O74" s="18" t="n">
        <v>0</v>
      </c>
      <c r="P74" s="20" t="n">
        <v>0</v>
      </c>
      <c r="Q74" s="18" t="n">
        <v>49.3408456</v>
      </c>
      <c r="R74" s="20" t="n">
        <v>2.38072239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85.19017542</v>
      </c>
      <c r="F78" s="20" t="n">
        <v>1.85280827</v>
      </c>
      <c r="G78" s="18" t="n">
        <v>9.76935273</v>
      </c>
      <c r="H78" s="20" t="n">
        <v>1.53359845</v>
      </c>
      <c r="I78" s="18" t="s">
        <v>349</v>
      </c>
      <c r="J78" s="20" t="s">
        <v>349</v>
      </c>
      <c r="K78" s="18" t="n">
        <v>0</v>
      </c>
      <c r="L78" s="20" t="n">
        <v>0</v>
      </c>
      <c r="M78" s="18" t="n">
        <v>0</v>
      </c>
      <c r="N78" s="20" t="n">
        <v>0</v>
      </c>
      <c r="O78" s="18" t="n">
        <v>0</v>
      </c>
      <c r="P78" s="20" t="n">
        <v>0</v>
      </c>
      <c r="Q78" s="18" t="n">
        <v>5.04047185</v>
      </c>
      <c r="R78" s="20" t="n">
        <v>1.19167266</v>
      </c>
    </row>
    <row customHeight="1" ht="25" r="79" spans="1:18">
      <c r="A79" s="15" t="s">
        <v>421</v>
      </c>
      <c r="B79" s="17" t="n">
        <v>787</v>
      </c>
      <c r="C79" s="18">
        <f>(647.0/B79*100)</f>
        <v/>
      </c>
      <c r="D79" s="19" t="n">
        <v>140</v>
      </c>
      <c r="E79" s="18" t="n">
        <v>39.91828041</v>
      </c>
      <c r="F79" s="20" t="n">
        <v>3.76864434</v>
      </c>
      <c r="G79" s="18" t="n">
        <v>6.04457543</v>
      </c>
      <c r="H79" s="20" t="n">
        <v>2.01037271</v>
      </c>
      <c r="I79" s="18" t="s">
        <v>349</v>
      </c>
      <c r="J79" s="20" t="s">
        <v>349</v>
      </c>
      <c r="K79" s="18" t="n">
        <v>5.24765549</v>
      </c>
      <c r="L79" s="20" t="n">
        <v>1.52366538</v>
      </c>
      <c r="M79" s="18" t="n">
        <v>0</v>
      </c>
      <c r="N79" s="20" t="n">
        <v>0</v>
      </c>
      <c r="O79" s="18" t="n">
        <v>0</v>
      </c>
      <c r="P79" s="20" t="n">
        <v>0</v>
      </c>
      <c r="Q79" s="18" t="n">
        <v>48.78948867</v>
      </c>
      <c r="R79" s="20" t="n">
        <v>3.93852008</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61.75220851</v>
      </c>
      <c r="F44" s="20" t="n">
        <v>2.72039871</v>
      </c>
      <c r="G44" s="18" t="n">
        <v>19.7789452</v>
      </c>
      <c r="H44" s="20" t="n">
        <v>2.1579297</v>
      </c>
      <c r="I44" s="18" t="s">
        <v>349</v>
      </c>
      <c r="J44" s="20" t="s">
        <v>349</v>
      </c>
      <c r="K44" s="18" t="n">
        <v>5.09296637</v>
      </c>
      <c r="L44" s="20" t="n">
        <v>1.18381387</v>
      </c>
      <c r="M44" s="18" t="n">
        <v>0</v>
      </c>
      <c r="N44" s="20" t="n">
        <v>0</v>
      </c>
      <c r="O44" s="18" t="n">
        <v>0</v>
      </c>
      <c r="P44" s="20" t="n">
        <v>0</v>
      </c>
      <c r="Q44" s="18" t="n">
        <v>13.37587992</v>
      </c>
      <c r="R44" s="20" t="n">
        <v>1.91506215</v>
      </c>
    </row>
    <row r="45" spans="1:18">
      <c r="A45" s="15" t="s">
        <v>387</v>
      </c>
      <c r="B45" s="17" t="n">
        <v>2849</v>
      </c>
      <c r="C45" s="18">
        <f>(2347.0/B45*100)</f>
        <v/>
      </c>
      <c r="D45" s="19" t="n">
        <v>502</v>
      </c>
      <c r="E45" s="18" t="n">
        <v>69.21117997</v>
      </c>
      <c r="F45" s="20" t="n">
        <v>2.28264935</v>
      </c>
      <c r="G45" s="18" t="n">
        <v>15.32658441</v>
      </c>
      <c r="H45" s="20" t="n">
        <v>1.87156007</v>
      </c>
      <c r="I45" s="18" t="s">
        <v>349</v>
      </c>
      <c r="J45" s="20" t="s">
        <v>349</v>
      </c>
      <c r="K45" s="18" t="n">
        <v>7.06026272</v>
      </c>
      <c r="L45" s="20" t="n">
        <v>1.21897735</v>
      </c>
      <c r="M45" s="18" t="n">
        <v>0.1611874</v>
      </c>
      <c r="N45" s="20" t="n">
        <v>0.15026636</v>
      </c>
      <c r="O45" s="18" t="n">
        <v>1.7192715</v>
      </c>
      <c r="P45" s="20" t="n">
        <v>0.60751417</v>
      </c>
      <c r="Q45" s="18" t="n">
        <v>6.521514</v>
      </c>
      <c r="R45" s="20" t="n">
        <v>1.11270959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65.40319284</v>
      </c>
      <c r="F49" s="20" t="n">
        <v>2.75734769</v>
      </c>
      <c r="G49" s="18" t="n">
        <v>26.12919103</v>
      </c>
      <c r="H49" s="20" t="n">
        <v>2.90809604</v>
      </c>
      <c r="I49" s="18" t="s">
        <v>349</v>
      </c>
      <c r="J49" s="20" t="s">
        <v>349</v>
      </c>
      <c r="K49" s="18" t="n">
        <v>3.50202625</v>
      </c>
      <c r="L49" s="20" t="n">
        <v>0.7458112099999999</v>
      </c>
      <c r="M49" s="18" t="n">
        <v>0</v>
      </c>
      <c r="N49" s="20" t="n">
        <v>0</v>
      </c>
      <c r="O49" s="18" t="n">
        <v>0</v>
      </c>
      <c r="P49" s="20" t="n">
        <v>0</v>
      </c>
      <c r="Q49" s="18" t="n">
        <v>4.96558988</v>
      </c>
      <c r="R49" s="20" t="n">
        <v>1.23307192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70.18958087</v>
      </c>
      <c r="F55" s="20" t="n">
        <v>2.13079139</v>
      </c>
      <c r="G55" s="18" t="n">
        <v>23.30578983</v>
      </c>
      <c r="H55" s="20" t="n">
        <v>2.04994698</v>
      </c>
      <c r="I55" s="18" t="s">
        <v>349</v>
      </c>
      <c r="J55" s="20" t="s">
        <v>349</v>
      </c>
      <c r="K55" s="18" t="n">
        <v>1.9894519</v>
      </c>
      <c r="L55" s="20" t="n">
        <v>0.62432677</v>
      </c>
      <c r="M55" s="18" t="n">
        <v>0</v>
      </c>
      <c r="N55" s="20" t="n">
        <v>0</v>
      </c>
      <c r="O55" s="18" t="n">
        <v>0.19627826</v>
      </c>
      <c r="P55" s="20" t="n">
        <v>0.19032741</v>
      </c>
      <c r="Q55" s="18" t="n">
        <v>4.31889915</v>
      </c>
      <c r="R55" s="20" t="n">
        <v>1.09288379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74.80899556</v>
      </c>
      <c r="F57" s="20" t="n">
        <v>2.34687571</v>
      </c>
      <c r="G57" s="18" t="n">
        <v>22.47360096</v>
      </c>
      <c r="H57" s="20" t="n">
        <v>2.22304769</v>
      </c>
      <c r="I57" s="18" t="s">
        <v>349</v>
      </c>
      <c r="J57" s="20" t="s">
        <v>349</v>
      </c>
      <c r="K57" s="18" t="n">
        <v>1.32732558</v>
      </c>
      <c r="L57" s="20" t="n">
        <v>0.58493618</v>
      </c>
      <c r="M57" s="18" t="n">
        <v>0</v>
      </c>
      <c r="N57" s="20" t="n">
        <v>0</v>
      </c>
      <c r="O57" s="18" t="n">
        <v>0</v>
      </c>
      <c r="P57" s="20" t="n">
        <v>0</v>
      </c>
      <c r="Q57" s="18" t="n">
        <v>1.3900779</v>
      </c>
      <c r="R57" s="20" t="n">
        <v>0.52783345</v>
      </c>
    </row>
    <row r="58" spans="1:18">
      <c r="A58" s="15" t="s">
        <v>400</v>
      </c>
      <c r="B58" s="17" t="n">
        <v>3530</v>
      </c>
      <c r="C58" s="18">
        <f>(2954.0/B58*100)</f>
        <v/>
      </c>
      <c r="D58" s="19" t="n">
        <v>576</v>
      </c>
      <c r="E58" s="18" t="n">
        <v>65.85836844000001</v>
      </c>
      <c r="F58" s="20" t="n">
        <v>2.24838785</v>
      </c>
      <c r="G58" s="18" t="n">
        <v>25.03049097</v>
      </c>
      <c r="H58" s="20" t="n">
        <v>2.03806472</v>
      </c>
      <c r="I58" s="18" t="s">
        <v>349</v>
      </c>
      <c r="J58" s="20" t="s">
        <v>349</v>
      </c>
      <c r="K58" s="18" t="n">
        <v>3.69348018</v>
      </c>
      <c r="L58" s="20" t="n">
        <v>0.95862695</v>
      </c>
      <c r="M58" s="18" t="n">
        <v>0</v>
      </c>
      <c r="N58" s="20" t="n">
        <v>0</v>
      </c>
      <c r="O58" s="18" t="n">
        <v>0.22272336</v>
      </c>
      <c r="P58" s="20" t="n">
        <v>0.22253398</v>
      </c>
      <c r="Q58" s="18" t="n">
        <v>5.19493705</v>
      </c>
      <c r="R58" s="20" t="n">
        <v>1.15175459</v>
      </c>
    </row>
    <row r="59" spans="1:18">
      <c r="A59" s="15" t="s">
        <v>401</v>
      </c>
      <c r="B59" s="17" t="n">
        <v>2548</v>
      </c>
      <c r="C59" s="18">
        <f>(2153.0/B59*100)</f>
        <v/>
      </c>
      <c r="D59" s="19" t="n">
        <v>395</v>
      </c>
      <c r="E59" s="18" t="n">
        <v>75.40022980000001</v>
      </c>
      <c r="F59" s="20" t="n">
        <v>2.44332778</v>
      </c>
      <c r="G59" s="18" t="n">
        <v>21.47044866</v>
      </c>
      <c r="H59" s="20" t="n">
        <v>2.25716356</v>
      </c>
      <c r="I59" s="18" t="s">
        <v>349</v>
      </c>
      <c r="J59" s="20" t="s">
        <v>349</v>
      </c>
      <c r="K59" s="18" t="n">
        <v>0.80670958</v>
      </c>
      <c r="L59" s="20" t="n">
        <v>0.40008022</v>
      </c>
      <c r="M59" s="18" t="n">
        <v>0</v>
      </c>
      <c r="N59" s="20" t="n">
        <v>0</v>
      </c>
      <c r="O59" s="18" t="n">
        <v>0.19264141</v>
      </c>
      <c r="P59" s="20" t="n">
        <v>0.13362566</v>
      </c>
      <c r="Q59" s="18" t="n">
        <v>2.12997055</v>
      </c>
      <c r="R59" s="20" t="n">
        <v>0.72026695</v>
      </c>
    </row>
    <row r="60" spans="1:18">
      <c r="A60" s="15" t="s">
        <v>402</v>
      </c>
      <c r="B60" s="17" t="n">
        <v>2095</v>
      </c>
      <c r="C60" s="18">
        <f>(1739.0/B60*100)</f>
        <v/>
      </c>
      <c r="D60" s="19" t="n">
        <v>356</v>
      </c>
      <c r="E60" s="18" t="n">
        <v>64.49554929999999</v>
      </c>
      <c r="F60" s="20" t="n">
        <v>2.54868021</v>
      </c>
      <c r="G60" s="18" t="n">
        <v>23.2434306</v>
      </c>
      <c r="H60" s="20" t="n">
        <v>2.16962371</v>
      </c>
      <c r="I60" s="18" t="s">
        <v>349</v>
      </c>
      <c r="J60" s="20" t="s">
        <v>349</v>
      </c>
      <c r="K60" s="18" t="n">
        <v>4.93439695</v>
      </c>
      <c r="L60" s="20" t="n">
        <v>1.10603701</v>
      </c>
      <c r="M60" s="18" t="n">
        <v>0</v>
      </c>
      <c r="N60" s="20" t="n">
        <v>0</v>
      </c>
      <c r="O60" s="18" t="n">
        <v>1.52481064</v>
      </c>
      <c r="P60" s="20" t="n">
        <v>0.81601094</v>
      </c>
      <c r="Q60" s="18" t="n">
        <v>5.8018125</v>
      </c>
      <c r="R60" s="20" t="n">
        <v>1.38823559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61.54268127</v>
      </c>
      <c r="F63" s="20" t="n">
        <v>2.29769685</v>
      </c>
      <c r="G63" s="18" t="n">
        <v>21.92927007</v>
      </c>
      <c r="H63" s="20" t="n">
        <v>2.04156539</v>
      </c>
      <c r="I63" s="18" t="s">
        <v>349</v>
      </c>
      <c r="J63" s="20" t="s">
        <v>349</v>
      </c>
      <c r="K63" s="18" t="n">
        <v>5.1067186</v>
      </c>
      <c r="L63" s="20" t="n">
        <v>0.98969134</v>
      </c>
      <c r="M63" s="18" t="n">
        <v>0</v>
      </c>
      <c r="N63" s="20" t="n">
        <v>0</v>
      </c>
      <c r="O63" s="18" t="n">
        <v>0.23966142</v>
      </c>
      <c r="P63" s="20" t="n">
        <v>0.23895933</v>
      </c>
      <c r="Q63" s="18" t="n">
        <v>11.18166865</v>
      </c>
      <c r="R63" s="20" t="n">
        <v>1.40086471</v>
      </c>
    </row>
    <row r="64" spans="1:18">
      <c r="A64" s="15" t="s">
        <v>406</v>
      </c>
      <c r="B64" s="17" t="n">
        <v>1844</v>
      </c>
      <c r="C64" s="18">
        <f>(1556.0/B64*100)</f>
        <v/>
      </c>
      <c r="D64" s="19" t="n">
        <v>288</v>
      </c>
      <c r="E64" s="18" t="n">
        <v>55.24957171</v>
      </c>
      <c r="F64" s="20" t="n">
        <v>2.9619426</v>
      </c>
      <c r="G64" s="18" t="n">
        <v>37.87082064</v>
      </c>
      <c r="H64" s="20" t="n">
        <v>2.78599571</v>
      </c>
      <c r="I64" s="18" t="s">
        <v>349</v>
      </c>
      <c r="J64" s="20" t="s">
        <v>349</v>
      </c>
      <c r="K64" s="18" t="n">
        <v>4.07612474</v>
      </c>
      <c r="L64" s="20" t="n">
        <v>1.18322922</v>
      </c>
      <c r="M64" s="18" t="n">
        <v>0</v>
      </c>
      <c r="N64" s="20" t="n">
        <v>0</v>
      </c>
      <c r="O64" s="18" t="n">
        <v>0</v>
      </c>
      <c r="P64" s="20" t="n">
        <v>0</v>
      </c>
      <c r="Q64" s="18" t="n">
        <v>2.80348291</v>
      </c>
      <c r="R64" s="20" t="n">
        <v>0.98359505</v>
      </c>
    </row>
    <row r="65" spans="1:18">
      <c r="A65" s="15" t="s">
        <v>407</v>
      </c>
      <c r="B65" s="17" t="n">
        <v>2691</v>
      </c>
      <c r="C65" s="18">
        <f>(2266.0/B65*100)</f>
        <v/>
      </c>
      <c r="D65" s="19" t="n">
        <v>425</v>
      </c>
      <c r="E65" s="18" t="n">
        <v>69.97327776</v>
      </c>
      <c r="F65" s="20" t="n">
        <v>2.61873547</v>
      </c>
      <c r="G65" s="18" t="n">
        <v>17.72440793</v>
      </c>
      <c r="H65" s="20" t="n">
        <v>2.10668185</v>
      </c>
      <c r="I65" s="18" t="s">
        <v>349</v>
      </c>
      <c r="J65" s="20" t="s">
        <v>349</v>
      </c>
      <c r="K65" s="18" t="n">
        <v>4.40886306</v>
      </c>
      <c r="L65" s="20" t="n">
        <v>1.05585281</v>
      </c>
      <c r="M65" s="18" t="n">
        <v>0.5926090000000001</v>
      </c>
      <c r="N65" s="20" t="n">
        <v>0.44013217</v>
      </c>
      <c r="O65" s="18" t="n">
        <v>0</v>
      </c>
      <c r="P65" s="20" t="n">
        <v>0</v>
      </c>
      <c r="Q65" s="18" t="n">
        <v>7.30084225</v>
      </c>
      <c r="R65" s="20" t="n">
        <v>1.46849282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77.56804147</v>
      </c>
      <c r="F69" s="20" t="n">
        <v>2.22785932</v>
      </c>
      <c r="G69" s="18" t="n">
        <v>21.97408636</v>
      </c>
      <c r="H69" s="20" t="n">
        <v>2.16739314</v>
      </c>
      <c r="I69" s="18" t="s">
        <v>349</v>
      </c>
      <c r="J69" s="20" t="s">
        <v>349</v>
      </c>
      <c r="K69" s="18" t="n">
        <v>0</v>
      </c>
      <c r="L69" s="20" t="n">
        <v>0</v>
      </c>
      <c r="M69" s="18" t="n">
        <v>0</v>
      </c>
      <c r="N69" s="20" t="n">
        <v>0</v>
      </c>
      <c r="O69" s="18" t="n">
        <v>0</v>
      </c>
      <c r="P69" s="20" t="n">
        <v>0</v>
      </c>
      <c r="Q69" s="18" t="n">
        <v>0.45787216</v>
      </c>
      <c r="R69" s="20" t="n">
        <v>0.31547789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59.09750703</v>
      </c>
      <c r="F74" s="20" t="n">
        <v>2.75693754</v>
      </c>
      <c r="G74" s="18" t="n">
        <v>28.15844344</v>
      </c>
      <c r="H74" s="20" t="n">
        <v>2.58399306</v>
      </c>
      <c r="I74" s="18" t="s">
        <v>349</v>
      </c>
      <c r="J74" s="20" t="s">
        <v>349</v>
      </c>
      <c r="K74" s="18" t="n">
        <v>7.87460268</v>
      </c>
      <c r="L74" s="20" t="n">
        <v>1.63778349</v>
      </c>
      <c r="M74" s="18" t="n">
        <v>0</v>
      </c>
      <c r="N74" s="20" t="n">
        <v>0</v>
      </c>
      <c r="O74" s="18" t="n">
        <v>0</v>
      </c>
      <c r="P74" s="20" t="n">
        <v>0</v>
      </c>
      <c r="Q74" s="18" t="n">
        <v>4.86944684</v>
      </c>
      <c r="R74" s="20" t="n">
        <v>1.16638359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45.78493262</v>
      </c>
      <c r="F78" s="20" t="n">
        <v>2.46196208</v>
      </c>
      <c r="G78" s="18" t="n">
        <v>54.21506738</v>
      </c>
      <c r="H78" s="20" t="n">
        <v>2.46196208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(647.0/B79*100)</f>
        <v/>
      </c>
      <c r="D79" s="19" t="n">
        <v>140</v>
      </c>
      <c r="E79" s="18" t="n">
        <v>69.62537981</v>
      </c>
      <c r="F79" s="20" t="n">
        <v>4.46580734</v>
      </c>
      <c r="G79" s="18" t="n">
        <v>21.55076108</v>
      </c>
      <c r="H79" s="20" t="n">
        <v>4.09872506</v>
      </c>
      <c r="I79" s="18" t="s">
        <v>349</v>
      </c>
      <c r="J79" s="20" t="s">
        <v>349</v>
      </c>
      <c r="K79" s="18" t="n">
        <v>5.24765549</v>
      </c>
      <c r="L79" s="20" t="n">
        <v>1.52366538</v>
      </c>
      <c r="M79" s="18" t="n">
        <v>0</v>
      </c>
      <c r="N79" s="20" t="n">
        <v>0</v>
      </c>
      <c r="O79" s="18" t="n">
        <v>0</v>
      </c>
      <c r="P79" s="20" t="n">
        <v>0</v>
      </c>
      <c r="Q79" s="18" t="n">
        <v>3.57620361</v>
      </c>
      <c r="R79" s="20" t="n">
        <v>1.29890335</v>
      </c>
    </row>
    <row r="80" spans="1:18">
      <c r="A80" s="15" t="s">
        <v>422</v>
      </c>
      <c r="B80" s="17" t="n">
        <v>3798</v>
      </c>
      <c r="C80" s="18">
        <f>(3156.0/B80*100)</f>
        <v/>
      </c>
      <c r="D80" s="19" t="n">
        <v>642</v>
      </c>
      <c r="E80" s="18" t="n">
        <v>74.34913478999999</v>
      </c>
      <c r="F80" s="20" t="n">
        <v>2.52180888</v>
      </c>
      <c r="G80" s="18" t="n">
        <v>25.06085751</v>
      </c>
      <c r="H80" s="20" t="n">
        <v>2.49805677</v>
      </c>
      <c r="I80" s="18" t="s">
        <v>349</v>
      </c>
      <c r="J80" s="20" t="s">
        <v>349</v>
      </c>
      <c r="K80" s="18" t="n">
        <v>0</v>
      </c>
      <c r="L80" s="20" t="n">
        <v>0</v>
      </c>
      <c r="M80" s="18" t="n">
        <v>0</v>
      </c>
      <c r="N80" s="20" t="n">
        <v>0</v>
      </c>
      <c r="O80" s="18" t="n">
        <v>0</v>
      </c>
      <c r="P80" s="20" t="n">
        <v>0</v>
      </c>
      <c r="Q80" s="18" t="n">
        <v>0.5900077</v>
      </c>
      <c r="R80" s="20" t="n">
        <v>0.19568981</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35.311571</v>
      </c>
      <c r="F44" s="20" t="n">
        <v>2.7762518</v>
      </c>
      <c r="G44" s="18" t="n">
        <v>38.90336062</v>
      </c>
      <c r="H44" s="20" t="n">
        <v>3.29203642</v>
      </c>
      <c r="I44" s="18" t="s">
        <v>349</v>
      </c>
      <c r="J44" s="20" t="s">
        <v>349</v>
      </c>
      <c r="K44" s="18" t="n">
        <v>6.69090996</v>
      </c>
      <c r="L44" s="20" t="n">
        <v>1.38693707</v>
      </c>
      <c r="M44" s="18" t="n">
        <v>0</v>
      </c>
      <c r="N44" s="20" t="n">
        <v>0</v>
      </c>
      <c r="O44" s="18" t="n">
        <v>0</v>
      </c>
      <c r="P44" s="20" t="n">
        <v>0</v>
      </c>
      <c r="Q44" s="18" t="n">
        <v>19.09415842</v>
      </c>
      <c r="R44" s="20" t="n">
        <v>2.56168842</v>
      </c>
    </row>
    <row r="45" spans="1:18">
      <c r="A45" s="15" t="s">
        <v>387</v>
      </c>
      <c r="B45" s="17" t="n">
        <v>2849</v>
      </c>
      <c r="C45" s="18">
        <f>(2347.0/B45*100)</f>
        <v/>
      </c>
      <c r="D45" s="19" t="n">
        <v>502</v>
      </c>
      <c r="E45" s="18" t="n">
        <v>32.4443326</v>
      </c>
      <c r="F45" s="20" t="n">
        <v>2.2990292</v>
      </c>
      <c r="G45" s="18" t="n">
        <v>46.24047912</v>
      </c>
      <c r="H45" s="20" t="n">
        <v>2.35439462</v>
      </c>
      <c r="I45" s="18" t="s">
        <v>349</v>
      </c>
      <c r="J45" s="20" t="s">
        <v>349</v>
      </c>
      <c r="K45" s="18" t="n">
        <v>7.46810278</v>
      </c>
      <c r="L45" s="20" t="n">
        <v>1.21007558</v>
      </c>
      <c r="M45" s="18" t="n">
        <v>0</v>
      </c>
      <c r="N45" s="20" t="n">
        <v>0</v>
      </c>
      <c r="O45" s="18" t="n">
        <v>0.56343479</v>
      </c>
      <c r="P45" s="20" t="n">
        <v>0.32188378</v>
      </c>
      <c r="Q45" s="18" t="n">
        <v>13.2836507</v>
      </c>
      <c r="R45" s="20" t="n">
        <v>2.05958661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38.11187833</v>
      </c>
      <c r="F49" s="20" t="n">
        <v>2.65047461</v>
      </c>
      <c r="G49" s="18" t="n">
        <v>39.07119106</v>
      </c>
      <c r="H49" s="20" t="n">
        <v>2.74048069</v>
      </c>
      <c r="I49" s="18" t="s">
        <v>349</v>
      </c>
      <c r="J49" s="20" t="s">
        <v>349</v>
      </c>
      <c r="K49" s="18" t="n">
        <v>4.23309329</v>
      </c>
      <c r="L49" s="20" t="n">
        <v>0.8394000700000001</v>
      </c>
      <c r="M49" s="18" t="n">
        <v>0</v>
      </c>
      <c r="N49" s="20" t="n">
        <v>0</v>
      </c>
      <c r="O49" s="18" t="n">
        <v>0</v>
      </c>
      <c r="P49" s="20" t="n">
        <v>0</v>
      </c>
      <c r="Q49" s="18" t="n">
        <v>18.58383731</v>
      </c>
      <c r="R49" s="20" t="n">
        <v>2.24256735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38.64830176</v>
      </c>
      <c r="F55" s="20" t="n">
        <v>2.44876409</v>
      </c>
      <c r="G55" s="18" t="n">
        <v>35.8019275</v>
      </c>
      <c r="H55" s="20" t="n">
        <v>2.47926421</v>
      </c>
      <c r="I55" s="18" t="s">
        <v>349</v>
      </c>
      <c r="J55" s="20" t="s">
        <v>349</v>
      </c>
      <c r="K55" s="18" t="n">
        <v>2.61547864</v>
      </c>
      <c r="L55" s="20" t="n">
        <v>0.66846697</v>
      </c>
      <c r="M55" s="18" t="n">
        <v>0</v>
      </c>
      <c r="N55" s="20" t="n">
        <v>0</v>
      </c>
      <c r="O55" s="18" t="n">
        <v>0.16357946</v>
      </c>
      <c r="P55" s="20" t="n">
        <v>0.10930257</v>
      </c>
      <c r="Q55" s="18" t="n">
        <v>22.77071264</v>
      </c>
      <c r="R55" s="20" t="n">
        <v>2.20416379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64.21453849</v>
      </c>
      <c r="F57" s="20" t="n">
        <v>1.98309639</v>
      </c>
      <c r="G57" s="18" t="n">
        <v>31.38404691</v>
      </c>
      <c r="H57" s="20" t="n">
        <v>1.98328766</v>
      </c>
      <c r="I57" s="18" t="s">
        <v>349</v>
      </c>
      <c r="J57" s="20" t="s">
        <v>349</v>
      </c>
      <c r="K57" s="18" t="n">
        <v>1.63505934</v>
      </c>
      <c r="L57" s="20" t="n">
        <v>0.6264542400000001</v>
      </c>
      <c r="M57" s="18" t="n">
        <v>0</v>
      </c>
      <c r="N57" s="20" t="n">
        <v>0</v>
      </c>
      <c r="O57" s="18" t="n">
        <v>0</v>
      </c>
      <c r="P57" s="20" t="n">
        <v>0</v>
      </c>
      <c r="Q57" s="18" t="n">
        <v>2.76635526</v>
      </c>
      <c r="R57" s="20" t="n">
        <v>0.76261659</v>
      </c>
    </row>
    <row r="58" spans="1:18">
      <c r="A58" s="15" t="s">
        <v>400</v>
      </c>
      <c r="B58" s="17" t="n">
        <v>3530</v>
      </c>
      <c r="C58" s="18">
        <f>(2954.0/B58*100)</f>
        <v/>
      </c>
      <c r="D58" s="19" t="n">
        <v>576</v>
      </c>
      <c r="E58" s="18" t="n">
        <v>36.0800712</v>
      </c>
      <c r="F58" s="20" t="n">
        <v>2.47955014</v>
      </c>
      <c r="G58" s="18" t="n">
        <v>50.92251854</v>
      </c>
      <c r="H58" s="20" t="n">
        <v>2.5675799</v>
      </c>
      <c r="I58" s="18" t="s">
        <v>349</v>
      </c>
      <c r="J58" s="20" t="s">
        <v>349</v>
      </c>
      <c r="K58" s="18" t="n">
        <v>4.67744031</v>
      </c>
      <c r="L58" s="20" t="n">
        <v>1.11745164</v>
      </c>
      <c r="M58" s="18" t="n">
        <v>0</v>
      </c>
      <c r="N58" s="20" t="n">
        <v>0</v>
      </c>
      <c r="O58" s="18" t="n">
        <v>0</v>
      </c>
      <c r="P58" s="20" t="n">
        <v>0</v>
      </c>
      <c r="Q58" s="18" t="n">
        <v>8.319969950000001</v>
      </c>
      <c r="R58" s="20" t="n">
        <v>1.51169584</v>
      </c>
    </row>
    <row r="59" spans="1:18">
      <c r="A59" s="15" t="s">
        <v>401</v>
      </c>
      <c r="B59" s="17" t="n">
        <v>2548</v>
      </c>
      <c r="C59" s="18">
        <f>(2153.0/B59*100)</f>
        <v/>
      </c>
      <c r="D59" s="19" t="n">
        <v>395</v>
      </c>
      <c r="E59" s="18" t="n">
        <v>62.35176991</v>
      </c>
      <c r="F59" s="20" t="n">
        <v>3.10510803</v>
      </c>
      <c r="G59" s="18" t="n">
        <v>23.69242565</v>
      </c>
      <c r="H59" s="20" t="n">
        <v>2.79431885</v>
      </c>
      <c r="I59" s="18" t="s">
        <v>349</v>
      </c>
      <c r="J59" s="20" t="s">
        <v>349</v>
      </c>
      <c r="K59" s="18" t="n">
        <v>1.02594101</v>
      </c>
      <c r="L59" s="20" t="n">
        <v>0.42441315</v>
      </c>
      <c r="M59" s="18" t="n">
        <v>0</v>
      </c>
      <c r="N59" s="20" t="n">
        <v>0</v>
      </c>
      <c r="O59" s="18" t="n">
        <v>0</v>
      </c>
      <c r="P59" s="20" t="n">
        <v>0</v>
      </c>
      <c r="Q59" s="18" t="n">
        <v>12.92986343</v>
      </c>
      <c r="R59" s="20" t="n">
        <v>1.78336997</v>
      </c>
    </row>
    <row r="60" spans="1:18">
      <c r="A60" s="15" t="s">
        <v>402</v>
      </c>
      <c r="B60" s="17" t="n">
        <v>2095</v>
      </c>
      <c r="C60" s="18">
        <f>(1739.0/B60*100)</f>
        <v/>
      </c>
      <c r="D60" s="19" t="n">
        <v>356</v>
      </c>
      <c r="E60" s="18" t="n">
        <v>22.96619484</v>
      </c>
      <c r="F60" s="20" t="n">
        <v>2.80831463</v>
      </c>
      <c r="G60" s="18" t="n">
        <v>60.68057806</v>
      </c>
      <c r="H60" s="20" t="n">
        <v>2.96426277</v>
      </c>
      <c r="I60" s="18" t="s">
        <v>349</v>
      </c>
      <c r="J60" s="20" t="s">
        <v>349</v>
      </c>
      <c r="K60" s="18" t="n">
        <v>5.14267166</v>
      </c>
      <c r="L60" s="20" t="n">
        <v>1.11012621</v>
      </c>
      <c r="M60" s="18" t="n">
        <v>0.6039928</v>
      </c>
      <c r="N60" s="20" t="n">
        <v>0.58578679</v>
      </c>
      <c r="O60" s="18" t="n">
        <v>0</v>
      </c>
      <c r="P60" s="20" t="n">
        <v>0</v>
      </c>
      <c r="Q60" s="18" t="n">
        <v>10.60656262</v>
      </c>
      <c r="R60" s="20" t="n">
        <v>2.03201654</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30.88175676</v>
      </c>
      <c r="F63" s="20" t="n">
        <v>2.14828283</v>
      </c>
      <c r="G63" s="18" t="n">
        <v>35.99097399</v>
      </c>
      <c r="H63" s="20" t="n">
        <v>2.46938512</v>
      </c>
      <c r="I63" s="18" t="s">
        <v>349</v>
      </c>
      <c r="J63" s="20" t="s">
        <v>349</v>
      </c>
      <c r="K63" s="18" t="n">
        <v>6.81782651</v>
      </c>
      <c r="L63" s="20" t="n">
        <v>1.09232992</v>
      </c>
      <c r="M63" s="18" t="n">
        <v>0</v>
      </c>
      <c r="N63" s="20" t="n">
        <v>0</v>
      </c>
      <c r="O63" s="18" t="n">
        <v>0</v>
      </c>
      <c r="P63" s="20" t="n">
        <v>0</v>
      </c>
      <c r="Q63" s="18" t="n">
        <v>26.30944273</v>
      </c>
      <c r="R63" s="20" t="n">
        <v>2.23767351</v>
      </c>
    </row>
    <row r="64" spans="1:18">
      <c r="A64" s="15" t="s">
        <v>406</v>
      </c>
      <c r="B64" s="17" t="n">
        <v>1844</v>
      </c>
      <c r="C64" s="18">
        <f>(1556.0/B64*100)</f>
        <v/>
      </c>
      <c r="D64" s="19" t="n">
        <v>288</v>
      </c>
      <c r="E64" s="18" t="n">
        <v>23.24198473</v>
      </c>
      <c r="F64" s="20" t="n">
        <v>2.66622091</v>
      </c>
      <c r="G64" s="18" t="n">
        <v>63.44747184</v>
      </c>
      <c r="H64" s="20" t="n">
        <v>3.45627239</v>
      </c>
      <c r="I64" s="18" t="s">
        <v>349</v>
      </c>
      <c r="J64" s="20" t="s">
        <v>349</v>
      </c>
      <c r="K64" s="18" t="n">
        <v>5.18270183</v>
      </c>
      <c r="L64" s="20" t="n">
        <v>1.25289166</v>
      </c>
      <c r="M64" s="18" t="n">
        <v>0</v>
      </c>
      <c r="N64" s="20" t="n">
        <v>0</v>
      </c>
      <c r="O64" s="18" t="n">
        <v>0</v>
      </c>
      <c r="P64" s="20" t="n">
        <v>0</v>
      </c>
      <c r="Q64" s="18" t="n">
        <v>8.127841610000001</v>
      </c>
      <c r="R64" s="20" t="n">
        <v>1.60257004</v>
      </c>
    </row>
    <row r="65" spans="1:18">
      <c r="A65" s="15" t="s">
        <v>407</v>
      </c>
      <c r="B65" s="17" t="n">
        <v>2691</v>
      </c>
      <c r="C65" s="18">
        <f>(2266.0/B65*100)</f>
        <v/>
      </c>
      <c r="D65" s="19" t="n">
        <v>425</v>
      </c>
      <c r="E65" s="18" t="n">
        <v>36.42154092</v>
      </c>
      <c r="F65" s="20" t="n">
        <v>2.14758545</v>
      </c>
      <c r="G65" s="18" t="n">
        <v>40.76883025</v>
      </c>
      <c r="H65" s="20" t="n">
        <v>2.23790558</v>
      </c>
      <c r="I65" s="18" t="s">
        <v>349</v>
      </c>
      <c r="J65" s="20" t="s">
        <v>349</v>
      </c>
      <c r="K65" s="18" t="n">
        <v>5.11859371</v>
      </c>
      <c r="L65" s="20" t="n">
        <v>1.15882147</v>
      </c>
      <c r="M65" s="18" t="n">
        <v>0</v>
      </c>
      <c r="N65" s="20" t="n">
        <v>0</v>
      </c>
      <c r="O65" s="18" t="n">
        <v>0</v>
      </c>
      <c r="P65" s="20" t="n">
        <v>0</v>
      </c>
      <c r="Q65" s="18" t="n">
        <v>17.69103513</v>
      </c>
      <c r="R65" s="20" t="n">
        <v>1.90111797</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39.95919744</v>
      </c>
      <c r="F69" s="20" t="n">
        <v>2.56631958</v>
      </c>
      <c r="G69" s="18" t="n">
        <v>59.81054318</v>
      </c>
      <c r="H69" s="20" t="n">
        <v>2.57470251</v>
      </c>
      <c r="I69" s="18" t="s">
        <v>349</v>
      </c>
      <c r="J69" s="20" t="s">
        <v>349</v>
      </c>
      <c r="K69" s="18" t="n">
        <v>0</v>
      </c>
      <c r="L69" s="20" t="n">
        <v>0</v>
      </c>
      <c r="M69" s="18" t="n">
        <v>0</v>
      </c>
      <c r="N69" s="20" t="n">
        <v>0</v>
      </c>
      <c r="O69" s="18" t="n">
        <v>0</v>
      </c>
      <c r="P69" s="20" t="n">
        <v>0</v>
      </c>
      <c r="Q69" s="18" t="n">
        <v>0.23025938</v>
      </c>
      <c r="R69" s="20" t="n">
        <v>0.23150734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30.49593626</v>
      </c>
      <c r="F74" s="20" t="n">
        <v>2.83233079</v>
      </c>
      <c r="G74" s="18" t="n">
        <v>43.47421354</v>
      </c>
      <c r="H74" s="20" t="n">
        <v>3.06228497</v>
      </c>
      <c r="I74" s="18" t="s">
        <v>349</v>
      </c>
      <c r="J74" s="20" t="s">
        <v>349</v>
      </c>
      <c r="K74" s="18" t="n">
        <v>9.50665444</v>
      </c>
      <c r="L74" s="20" t="n">
        <v>1.76018509</v>
      </c>
      <c r="M74" s="18" t="n">
        <v>0</v>
      </c>
      <c r="N74" s="20" t="n">
        <v>0</v>
      </c>
      <c r="O74" s="18" t="n">
        <v>0</v>
      </c>
      <c r="P74" s="20" t="n">
        <v>0</v>
      </c>
      <c r="Q74" s="18" t="n">
        <v>16.52319577</v>
      </c>
      <c r="R74" s="20" t="n">
        <v>2.43579665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21.73425966</v>
      </c>
      <c r="F78" s="20" t="n">
        <v>2.21896884</v>
      </c>
      <c r="G78" s="18" t="n">
        <v>76.45367779999999</v>
      </c>
      <c r="H78" s="20" t="n">
        <v>2.34062494</v>
      </c>
      <c r="I78" s="18" t="s">
        <v>349</v>
      </c>
      <c r="J78" s="20" t="s">
        <v>349</v>
      </c>
      <c r="K78" s="18" t="n">
        <v>0</v>
      </c>
      <c r="L78" s="20" t="n">
        <v>0</v>
      </c>
      <c r="M78" s="18" t="n">
        <v>0</v>
      </c>
      <c r="N78" s="20" t="n">
        <v>0</v>
      </c>
      <c r="O78" s="18" t="n">
        <v>0</v>
      </c>
      <c r="P78" s="20" t="n">
        <v>0</v>
      </c>
      <c r="Q78" s="18" t="n">
        <v>1.81206253</v>
      </c>
      <c r="R78" s="20" t="n">
        <v>0.7598063</v>
      </c>
    </row>
    <row customHeight="1" ht="25" r="79" spans="1:18">
      <c r="A79" s="15" t="s">
        <v>421</v>
      </c>
      <c r="B79" s="17" t="n">
        <v>787</v>
      </c>
      <c r="C79" s="18">
        <f>(647.0/B79*100)</f>
        <v/>
      </c>
      <c r="D79" s="19" t="n">
        <v>140</v>
      </c>
      <c r="E79" s="18" t="n">
        <v>21.59263467</v>
      </c>
      <c r="F79" s="20" t="n">
        <v>3.0005595</v>
      </c>
      <c r="G79" s="18" t="n">
        <v>56.95918965</v>
      </c>
      <c r="H79" s="20" t="n">
        <v>4.3720031</v>
      </c>
      <c r="I79" s="18" t="s">
        <v>349</v>
      </c>
      <c r="J79" s="20" t="s">
        <v>349</v>
      </c>
      <c r="K79" s="18" t="n">
        <v>6.22282263</v>
      </c>
      <c r="L79" s="20" t="n">
        <v>1.51106939</v>
      </c>
      <c r="M79" s="18" t="n">
        <v>0</v>
      </c>
      <c r="N79" s="20" t="n">
        <v>0</v>
      </c>
      <c r="O79" s="18" t="n">
        <v>0</v>
      </c>
      <c r="P79" s="20" t="n">
        <v>0</v>
      </c>
      <c r="Q79" s="18" t="n">
        <v>15.22535305</v>
      </c>
      <c r="R79" s="20" t="n">
        <v>3.30769798</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47.27798535</v>
      </c>
      <c r="F44" s="20" t="n">
        <v>3.08763716</v>
      </c>
      <c r="G44" s="18" t="n">
        <v>35.79968724</v>
      </c>
      <c r="H44" s="20" t="n">
        <v>2.65139328</v>
      </c>
      <c r="I44" s="18" t="s">
        <v>349</v>
      </c>
      <c r="J44" s="20" t="s">
        <v>349</v>
      </c>
      <c r="K44" s="18" t="n">
        <v>10.15452563</v>
      </c>
      <c r="L44" s="20" t="n">
        <v>1.77339435</v>
      </c>
      <c r="M44" s="18" t="n">
        <v>0</v>
      </c>
      <c r="N44" s="20" t="n">
        <v>0</v>
      </c>
      <c r="O44" s="18" t="n">
        <v>1.02715139</v>
      </c>
      <c r="P44" s="20" t="n">
        <v>0.54318051</v>
      </c>
      <c r="Q44" s="18" t="n">
        <v>5.74065039</v>
      </c>
      <c r="R44" s="20" t="n">
        <v>1.20948911</v>
      </c>
    </row>
    <row r="45" spans="1:18">
      <c r="A45" s="15" t="s">
        <v>387</v>
      </c>
      <c r="B45" s="17" t="n">
        <v>2849</v>
      </c>
      <c r="C45" s="18">
        <f>(2347.0/B45*100)</f>
        <v/>
      </c>
      <c r="D45" s="19" t="n">
        <v>502</v>
      </c>
      <c r="E45" s="18" t="n">
        <v>47.11469396</v>
      </c>
      <c r="F45" s="20" t="n">
        <v>2.27943336</v>
      </c>
      <c r="G45" s="18" t="n">
        <v>38.44074259</v>
      </c>
      <c r="H45" s="20" t="n">
        <v>2.43590028</v>
      </c>
      <c r="I45" s="18" t="s">
        <v>349</v>
      </c>
      <c r="J45" s="20" t="s">
        <v>349</v>
      </c>
      <c r="K45" s="18" t="n">
        <v>9.00021319</v>
      </c>
      <c r="L45" s="20" t="n">
        <v>1.3300275</v>
      </c>
      <c r="M45" s="18" t="n">
        <v>0.51873971</v>
      </c>
      <c r="N45" s="20" t="n">
        <v>0.31445309</v>
      </c>
      <c r="O45" s="18" t="n">
        <v>1.8063575</v>
      </c>
      <c r="P45" s="20" t="n">
        <v>0.66460083</v>
      </c>
      <c r="Q45" s="18" t="n">
        <v>3.11925304</v>
      </c>
      <c r="R45" s="20" t="n">
        <v>1.02923929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44.82566135</v>
      </c>
      <c r="F49" s="20" t="n">
        <v>2.9335581</v>
      </c>
      <c r="G49" s="18" t="n">
        <v>49.46041763</v>
      </c>
      <c r="H49" s="20" t="n">
        <v>2.81228709</v>
      </c>
      <c r="I49" s="18" t="s">
        <v>349</v>
      </c>
      <c r="J49" s="20" t="s">
        <v>349</v>
      </c>
      <c r="K49" s="18" t="n">
        <v>4.9103019</v>
      </c>
      <c r="L49" s="20" t="n">
        <v>0.90882611</v>
      </c>
      <c r="M49" s="18" t="n">
        <v>0</v>
      </c>
      <c r="N49" s="20" t="n">
        <v>0</v>
      </c>
      <c r="O49" s="18" t="n">
        <v>0</v>
      </c>
      <c r="P49" s="20" t="n">
        <v>0</v>
      </c>
      <c r="Q49" s="18" t="n">
        <v>0.80361912</v>
      </c>
      <c r="R49" s="20" t="n">
        <v>0.53890182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49.71887223</v>
      </c>
      <c r="F55" s="20" t="n">
        <v>2.53265845</v>
      </c>
      <c r="G55" s="18" t="n">
        <v>43.81203453</v>
      </c>
      <c r="H55" s="20" t="n">
        <v>2.62388218</v>
      </c>
      <c r="I55" s="18" t="s">
        <v>349</v>
      </c>
      <c r="J55" s="20" t="s">
        <v>349</v>
      </c>
      <c r="K55" s="18" t="n">
        <v>3.9018493</v>
      </c>
      <c r="L55" s="20" t="n">
        <v>0.95505576</v>
      </c>
      <c r="M55" s="18" t="n">
        <v>0</v>
      </c>
      <c r="N55" s="20" t="n">
        <v>0</v>
      </c>
      <c r="O55" s="18" t="n">
        <v>0.39463748</v>
      </c>
      <c r="P55" s="20" t="n">
        <v>0.26880312</v>
      </c>
      <c r="Q55" s="18" t="n">
        <v>2.17260647</v>
      </c>
      <c r="R55" s="20" t="n">
        <v>0.61246804</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60.55563317</v>
      </c>
      <c r="F57" s="20" t="n">
        <v>2.85030161</v>
      </c>
      <c r="G57" s="18" t="n">
        <v>35.85404513</v>
      </c>
      <c r="H57" s="20" t="n">
        <v>2.91061671</v>
      </c>
      <c r="I57" s="18" t="s">
        <v>349</v>
      </c>
      <c r="J57" s="20" t="s">
        <v>349</v>
      </c>
      <c r="K57" s="18" t="n">
        <v>1.92867356</v>
      </c>
      <c r="L57" s="20" t="n">
        <v>0.65489667</v>
      </c>
      <c r="M57" s="18" t="n">
        <v>0</v>
      </c>
      <c r="N57" s="20" t="n">
        <v>0</v>
      </c>
      <c r="O57" s="18" t="n">
        <v>0</v>
      </c>
      <c r="P57" s="20" t="n">
        <v>0</v>
      </c>
      <c r="Q57" s="18" t="n">
        <v>1.66164814</v>
      </c>
      <c r="R57" s="20" t="n">
        <v>0.54425328</v>
      </c>
    </row>
    <row r="58" spans="1:18">
      <c r="A58" s="15" t="s">
        <v>400</v>
      </c>
      <c r="B58" s="17" t="n">
        <v>3530</v>
      </c>
      <c r="C58" s="18">
        <f>(2954.0/B58*100)</f>
        <v/>
      </c>
      <c r="D58" s="19" t="n">
        <v>576</v>
      </c>
      <c r="E58" s="18" t="n">
        <v>55.84150546</v>
      </c>
      <c r="F58" s="20" t="n">
        <v>2.19311246</v>
      </c>
      <c r="G58" s="18" t="n">
        <v>36.99617258</v>
      </c>
      <c r="H58" s="20" t="n">
        <v>2.12453408</v>
      </c>
      <c r="I58" s="18" t="s">
        <v>349</v>
      </c>
      <c r="J58" s="20" t="s">
        <v>349</v>
      </c>
      <c r="K58" s="18" t="n">
        <v>5.65483539</v>
      </c>
      <c r="L58" s="20" t="n">
        <v>1.32994151</v>
      </c>
      <c r="M58" s="18" t="n">
        <v>0</v>
      </c>
      <c r="N58" s="20" t="n">
        <v>0</v>
      </c>
      <c r="O58" s="18" t="n">
        <v>0.28831379</v>
      </c>
      <c r="P58" s="20" t="n">
        <v>0.22769361</v>
      </c>
      <c r="Q58" s="18" t="n">
        <v>1.21917278</v>
      </c>
      <c r="R58" s="20" t="n">
        <v>0.4438134</v>
      </c>
    </row>
    <row r="59" spans="1:18">
      <c r="A59" s="15" t="s">
        <v>401</v>
      </c>
      <c r="B59" s="17" t="n">
        <v>2548</v>
      </c>
      <c r="C59" s="18">
        <f>(2153.0/B59*100)</f>
        <v/>
      </c>
      <c r="D59" s="19" t="n">
        <v>395</v>
      </c>
      <c r="E59" s="18" t="n">
        <v>66.48159735</v>
      </c>
      <c r="F59" s="20" t="n">
        <v>3.15183521</v>
      </c>
      <c r="G59" s="18" t="n">
        <v>31.76606063</v>
      </c>
      <c r="H59" s="20" t="n">
        <v>3.14723852</v>
      </c>
      <c r="I59" s="18" t="s">
        <v>349</v>
      </c>
      <c r="J59" s="20" t="s">
        <v>349</v>
      </c>
      <c r="K59" s="18" t="n">
        <v>1.02594101</v>
      </c>
      <c r="L59" s="20" t="n">
        <v>0.42441315</v>
      </c>
      <c r="M59" s="18" t="n">
        <v>0</v>
      </c>
      <c r="N59" s="20" t="n">
        <v>0</v>
      </c>
      <c r="O59" s="18" t="n">
        <v>0.10396675</v>
      </c>
      <c r="P59" s="20" t="n">
        <v>0.09918718999999999</v>
      </c>
      <c r="Q59" s="18" t="n">
        <v>0.62243426</v>
      </c>
      <c r="R59" s="20" t="n">
        <v>0.37518972</v>
      </c>
    </row>
    <row r="60" spans="1:18">
      <c r="A60" s="15" t="s">
        <v>402</v>
      </c>
      <c r="B60" s="17" t="n">
        <v>2095</v>
      </c>
      <c r="C60" s="18">
        <f>(1739.0/B60*100)</f>
        <v/>
      </c>
      <c r="D60" s="19" t="n">
        <v>356</v>
      </c>
      <c r="E60" s="18" t="n">
        <v>45.70797343</v>
      </c>
      <c r="F60" s="20" t="n">
        <v>3.03524161</v>
      </c>
      <c r="G60" s="18" t="n">
        <v>43.63374346</v>
      </c>
      <c r="H60" s="20" t="n">
        <v>3.08516797</v>
      </c>
      <c r="I60" s="18" t="s">
        <v>349</v>
      </c>
      <c r="J60" s="20" t="s">
        <v>349</v>
      </c>
      <c r="K60" s="18" t="n">
        <v>7.47428514</v>
      </c>
      <c r="L60" s="20" t="n">
        <v>1.69431906</v>
      </c>
      <c r="M60" s="18" t="n">
        <v>0</v>
      </c>
      <c r="N60" s="20" t="n">
        <v>0</v>
      </c>
      <c r="O60" s="18" t="n">
        <v>1.72766575</v>
      </c>
      <c r="P60" s="20" t="n">
        <v>1.03462638</v>
      </c>
      <c r="Q60" s="18" t="n">
        <v>1.45633222</v>
      </c>
      <c r="R60" s="20" t="n">
        <v>0.64301589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57.72094094</v>
      </c>
      <c r="F63" s="20" t="n">
        <v>2.70875319</v>
      </c>
      <c r="G63" s="18" t="n">
        <v>29.44455583</v>
      </c>
      <c r="H63" s="20" t="n">
        <v>2.42667547</v>
      </c>
      <c r="I63" s="18" t="s">
        <v>349</v>
      </c>
      <c r="J63" s="20" t="s">
        <v>349</v>
      </c>
      <c r="K63" s="18" t="n">
        <v>7.9235264</v>
      </c>
      <c r="L63" s="20" t="n">
        <v>1.16340162</v>
      </c>
      <c r="M63" s="18" t="n">
        <v>0</v>
      </c>
      <c r="N63" s="20" t="n">
        <v>0</v>
      </c>
      <c r="O63" s="18" t="n">
        <v>0.65548015</v>
      </c>
      <c r="P63" s="20" t="n">
        <v>0.3783354</v>
      </c>
      <c r="Q63" s="18" t="n">
        <v>4.25549669</v>
      </c>
      <c r="R63" s="20" t="n">
        <v>0.9801556</v>
      </c>
    </row>
    <row r="64" spans="1:18">
      <c r="A64" s="15" t="s">
        <v>406</v>
      </c>
      <c r="B64" s="17" t="n">
        <v>1844</v>
      </c>
      <c r="C64" s="18">
        <f>(1556.0/B64*100)</f>
        <v/>
      </c>
      <c r="D64" s="19" t="n">
        <v>288</v>
      </c>
      <c r="E64" s="18" t="n">
        <v>30.65684</v>
      </c>
      <c r="F64" s="20" t="n">
        <v>2.7376396</v>
      </c>
      <c r="G64" s="18" t="n">
        <v>61.27692984</v>
      </c>
      <c r="H64" s="20" t="n">
        <v>2.9561914</v>
      </c>
      <c r="I64" s="18" t="s">
        <v>349</v>
      </c>
      <c r="J64" s="20" t="s">
        <v>349</v>
      </c>
      <c r="K64" s="18" t="n">
        <v>6.67792922</v>
      </c>
      <c r="L64" s="20" t="n">
        <v>1.41491244</v>
      </c>
      <c r="M64" s="18" t="n">
        <v>0</v>
      </c>
      <c r="N64" s="20" t="n">
        <v>0</v>
      </c>
      <c r="O64" s="18" t="n">
        <v>0</v>
      </c>
      <c r="P64" s="20" t="n">
        <v>0</v>
      </c>
      <c r="Q64" s="18" t="n">
        <v>1.38830094</v>
      </c>
      <c r="R64" s="20" t="n">
        <v>0.70085622</v>
      </c>
    </row>
    <row r="65" spans="1:18">
      <c r="A65" s="15" t="s">
        <v>407</v>
      </c>
      <c r="B65" s="17" t="n">
        <v>2691</v>
      </c>
      <c r="C65" s="18">
        <f>(2266.0/B65*100)</f>
        <v/>
      </c>
      <c r="D65" s="19" t="n">
        <v>425</v>
      </c>
      <c r="E65" s="18" t="n">
        <v>40.9949943</v>
      </c>
      <c r="F65" s="20" t="n">
        <v>2.56018738</v>
      </c>
      <c r="G65" s="18" t="n">
        <v>47.23293177</v>
      </c>
      <c r="H65" s="20" t="n">
        <v>2.59308299</v>
      </c>
      <c r="I65" s="18" t="s">
        <v>349</v>
      </c>
      <c r="J65" s="20" t="s">
        <v>349</v>
      </c>
      <c r="K65" s="18" t="n">
        <v>6.83076671</v>
      </c>
      <c r="L65" s="20" t="n">
        <v>1.29894549</v>
      </c>
      <c r="M65" s="18" t="n">
        <v>0.45617545</v>
      </c>
      <c r="N65" s="20" t="n">
        <v>0.32413692</v>
      </c>
      <c r="O65" s="18" t="n">
        <v>0</v>
      </c>
      <c r="P65" s="20" t="n">
        <v>0</v>
      </c>
      <c r="Q65" s="18" t="n">
        <v>4.48513178</v>
      </c>
      <c r="R65" s="20" t="n">
        <v>0.94993748</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55.52123445</v>
      </c>
      <c r="F69" s="20" t="n">
        <v>2.5809726</v>
      </c>
      <c r="G69" s="18" t="n">
        <v>44.47876555</v>
      </c>
      <c r="H69" s="20" t="n">
        <v>2.5809726</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44.41429115</v>
      </c>
      <c r="F74" s="20" t="n">
        <v>2.97482983</v>
      </c>
      <c r="G74" s="18" t="n">
        <v>40.29386701</v>
      </c>
      <c r="H74" s="20" t="n">
        <v>2.50269158</v>
      </c>
      <c r="I74" s="18" t="s">
        <v>349</v>
      </c>
      <c r="J74" s="20" t="s">
        <v>349</v>
      </c>
      <c r="K74" s="18" t="n">
        <v>11.22739463</v>
      </c>
      <c r="L74" s="20" t="n">
        <v>1.88832209</v>
      </c>
      <c r="M74" s="18" t="n">
        <v>0</v>
      </c>
      <c r="N74" s="20" t="n">
        <v>0</v>
      </c>
      <c r="O74" s="18" t="n">
        <v>0</v>
      </c>
      <c r="P74" s="20" t="n">
        <v>0</v>
      </c>
      <c r="Q74" s="18" t="n">
        <v>4.0644472</v>
      </c>
      <c r="R74" s="20" t="n">
        <v>1.18178987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21.50662168</v>
      </c>
      <c r="F78" s="20" t="n">
        <v>1.9522612</v>
      </c>
      <c r="G78" s="18" t="n">
        <v>78.49337832000001</v>
      </c>
      <c r="H78" s="20" t="n">
        <v>1.9522612</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(647.0/B79*100)</f>
        <v/>
      </c>
      <c r="D79" s="19" t="n">
        <v>140</v>
      </c>
      <c r="E79" s="18" t="n">
        <v>37.44888893</v>
      </c>
      <c r="F79" s="20" t="n">
        <v>3.97138248</v>
      </c>
      <c r="G79" s="18" t="n">
        <v>52.69325594</v>
      </c>
      <c r="H79" s="20" t="n">
        <v>3.8736224</v>
      </c>
      <c r="I79" s="18" t="s">
        <v>349</v>
      </c>
      <c r="J79" s="20" t="s">
        <v>349</v>
      </c>
      <c r="K79" s="18" t="n">
        <v>8.48668217</v>
      </c>
      <c r="L79" s="20" t="n">
        <v>2.07650641</v>
      </c>
      <c r="M79" s="18" t="n">
        <v>0</v>
      </c>
      <c r="N79" s="20" t="n">
        <v>0</v>
      </c>
      <c r="O79" s="18" t="n">
        <v>0</v>
      </c>
      <c r="P79" s="20" t="n">
        <v>0</v>
      </c>
      <c r="Q79" s="18" t="n">
        <v>1.37117296</v>
      </c>
      <c r="R79" s="20" t="n">
        <v>0.9755087099999999</v>
      </c>
    </row>
    <row r="80" spans="1:18">
      <c r="A80" s="15" t="s">
        <v>422</v>
      </c>
      <c r="B80" s="17" t="n">
        <v>3798</v>
      </c>
      <c r="C80" s="18">
        <f>(3156.0/B80*100)</f>
        <v/>
      </c>
      <c r="D80" s="19" t="n">
        <v>642</v>
      </c>
      <c r="E80" s="18" t="n">
        <v>45.37608818</v>
      </c>
      <c r="F80" s="20" t="n">
        <v>3.01154512</v>
      </c>
      <c r="G80" s="18" t="n">
        <v>53.89603506</v>
      </c>
      <c r="H80" s="20" t="n">
        <v>3.00370046</v>
      </c>
      <c r="I80" s="18" t="s">
        <v>349</v>
      </c>
      <c r="J80" s="20" t="s">
        <v>349</v>
      </c>
      <c r="K80" s="18" t="n">
        <v>0</v>
      </c>
      <c r="L80" s="20" t="n">
        <v>0</v>
      </c>
      <c r="M80" s="18" t="n">
        <v>0</v>
      </c>
      <c r="N80" s="20" t="n">
        <v>0</v>
      </c>
      <c r="O80" s="18" t="n">
        <v>0</v>
      </c>
      <c r="P80" s="20" t="n">
        <v>0</v>
      </c>
      <c r="Q80" s="18" t="n">
        <v>0.72787676</v>
      </c>
      <c r="R80" s="20" t="n">
        <v>0.31130003</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579</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2524</v>
      </c>
      <c r="C44" s="18">
        <f>(2105.0/B44*100)</f>
        <v/>
      </c>
      <c r="D44" s="19" t="n">
        <v>419</v>
      </c>
      <c r="E44" s="18" t="n">
        <v>31.56482043</v>
      </c>
      <c r="F44" s="20" t="n">
        <v>2.51393992</v>
      </c>
      <c r="G44" s="18" t="n">
        <v>15.36863252</v>
      </c>
      <c r="H44" s="20" t="n">
        <v>1.97796042</v>
      </c>
      <c r="I44" s="18" t="n">
        <v>10.31416136</v>
      </c>
      <c r="J44" s="20" t="n">
        <v>1.63506394</v>
      </c>
      <c r="K44" s="18" t="s">
        <v>349</v>
      </c>
      <c r="L44" s="20" t="s">
        <v>349</v>
      </c>
      <c r="M44" s="18" t="n">
        <v>23.91027519</v>
      </c>
      <c r="N44" s="20" t="n">
        <v>2.4578274</v>
      </c>
      <c r="O44" s="18" t="n">
        <v>0</v>
      </c>
      <c r="P44" s="20" t="n">
        <v>0</v>
      </c>
      <c r="Q44" s="18" t="n">
        <v>0</v>
      </c>
      <c r="R44" s="20" t="n">
        <v>0</v>
      </c>
      <c r="S44" s="18" t="n">
        <v>18.8421105</v>
      </c>
      <c r="T44" s="20" t="n">
        <v>1.94441638</v>
      </c>
    </row>
    <row r="45" spans="1:20">
      <c r="A45" s="15" t="s">
        <v>387</v>
      </c>
      <c r="B45" s="17" t="n">
        <v>2849</v>
      </c>
      <c r="C45" s="18">
        <f>(2347.0/B45*100)</f>
        <v/>
      </c>
      <c r="D45" s="19" t="n">
        <v>502</v>
      </c>
      <c r="E45" s="18" t="n">
        <v>33.84741043</v>
      </c>
      <c r="F45" s="20" t="n">
        <v>2.31076365</v>
      </c>
      <c r="G45" s="18" t="n">
        <v>6.22207058</v>
      </c>
      <c r="H45" s="20" t="n">
        <v>1.24586728</v>
      </c>
      <c r="I45" s="18" t="n">
        <v>1.83133177</v>
      </c>
      <c r="J45" s="20" t="n">
        <v>0.6095771800000001</v>
      </c>
      <c r="K45" s="18" t="s">
        <v>349</v>
      </c>
      <c r="L45" s="20" t="s">
        <v>349</v>
      </c>
      <c r="M45" s="18" t="n">
        <v>20.20135272</v>
      </c>
      <c r="N45" s="20" t="n">
        <v>2.01586263</v>
      </c>
      <c r="O45" s="18" t="n">
        <v>0</v>
      </c>
      <c r="P45" s="20" t="n">
        <v>0</v>
      </c>
      <c r="Q45" s="18" t="n">
        <v>0.15095032</v>
      </c>
      <c r="R45" s="20" t="n">
        <v>0.15244897</v>
      </c>
      <c r="S45" s="18" t="n">
        <v>37.74688418</v>
      </c>
      <c r="T45" s="20" t="n">
        <v>2.51076775</v>
      </c>
    </row>
    <row r="46" spans="1:20">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3018</v>
      </c>
      <c r="C49" s="18">
        <f>(2502.0/B49*100)</f>
        <v/>
      </c>
      <c r="D49" s="19" t="n">
        <v>516</v>
      </c>
      <c r="E49" s="18" t="n">
        <v>35.2914344</v>
      </c>
      <c r="F49" s="20" t="n">
        <v>2.43153312</v>
      </c>
      <c r="G49" s="18" t="n">
        <v>5.86951953</v>
      </c>
      <c r="H49" s="20" t="n">
        <v>1.22102149</v>
      </c>
      <c r="I49" s="18" t="n">
        <v>16.29312769</v>
      </c>
      <c r="J49" s="20" t="n">
        <v>1.87955281</v>
      </c>
      <c r="K49" s="18" t="s">
        <v>349</v>
      </c>
      <c r="L49" s="20" t="s">
        <v>349</v>
      </c>
      <c r="M49" s="18" t="n">
        <v>16.98414909</v>
      </c>
      <c r="N49" s="20" t="n">
        <v>2.02600741</v>
      </c>
      <c r="O49" s="18" t="n">
        <v>0</v>
      </c>
      <c r="P49" s="20" t="n">
        <v>0</v>
      </c>
      <c r="Q49" s="18" t="n">
        <v>0</v>
      </c>
      <c r="R49" s="20" t="n">
        <v>0</v>
      </c>
      <c r="S49" s="18" t="n">
        <v>25.56176929</v>
      </c>
      <c r="T49" s="20" t="n">
        <v>2.68264773</v>
      </c>
    </row>
    <row r="50" spans="1:20">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2759</v>
      </c>
      <c r="C55" s="18">
        <f>(2310.0/B55*100)</f>
        <v/>
      </c>
      <c r="D55" s="19" t="n">
        <v>449</v>
      </c>
      <c r="E55" s="18" t="n">
        <v>22.92491176</v>
      </c>
      <c r="F55" s="20" t="n">
        <v>1.98707721</v>
      </c>
      <c r="G55" s="18" t="n">
        <v>9.365511270000001</v>
      </c>
      <c r="H55" s="20" t="n">
        <v>1.48691401</v>
      </c>
      <c r="I55" s="18" t="n">
        <v>12.12466363</v>
      </c>
      <c r="J55" s="20" t="n">
        <v>1.55887451</v>
      </c>
      <c r="K55" s="18" t="s">
        <v>349</v>
      </c>
      <c r="L55" s="20" t="s">
        <v>349</v>
      </c>
      <c r="M55" s="18" t="n">
        <v>21.04356186</v>
      </c>
      <c r="N55" s="20" t="n">
        <v>2.11473258</v>
      </c>
      <c r="O55" s="18" t="n">
        <v>0</v>
      </c>
      <c r="P55" s="20" t="n">
        <v>0</v>
      </c>
      <c r="Q55" s="18" t="n">
        <v>0</v>
      </c>
      <c r="R55" s="20" t="n">
        <v>0</v>
      </c>
      <c r="S55" s="18" t="n">
        <v>34.54135147</v>
      </c>
      <c r="T55" s="20" t="n">
        <v>2.61239298</v>
      </c>
    </row>
    <row r="56" spans="1:20">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3170</v>
      </c>
      <c r="C57" s="18">
        <f>(2640.0/B57*100)</f>
        <v/>
      </c>
      <c r="D57" s="19" t="n">
        <v>530</v>
      </c>
      <c r="E57" s="18" t="n">
        <v>73.64044237</v>
      </c>
      <c r="F57" s="20" t="n">
        <v>2.15448968</v>
      </c>
      <c r="G57" s="18" t="n">
        <v>6.24408784</v>
      </c>
      <c r="H57" s="20" t="n">
        <v>1.24107206</v>
      </c>
      <c r="I57" s="18" t="n">
        <v>6.74186795</v>
      </c>
      <c r="J57" s="20" t="n">
        <v>0.9683327</v>
      </c>
      <c r="K57" s="18" t="s">
        <v>349</v>
      </c>
      <c r="L57" s="20" t="s">
        <v>349</v>
      </c>
      <c r="M57" s="18" t="n">
        <v>5.32916662</v>
      </c>
      <c r="N57" s="20" t="n">
        <v>1.16485653</v>
      </c>
      <c r="O57" s="18" t="n">
        <v>0</v>
      </c>
      <c r="P57" s="20" t="n">
        <v>0</v>
      </c>
      <c r="Q57" s="18" t="n">
        <v>0</v>
      </c>
      <c r="R57" s="20" t="n">
        <v>0</v>
      </c>
      <c r="S57" s="18" t="n">
        <v>8.04443522</v>
      </c>
      <c r="T57" s="20" t="n">
        <v>1.57585135</v>
      </c>
    </row>
    <row r="58" spans="1:20">
      <c r="A58" s="15" t="s">
        <v>400</v>
      </c>
      <c r="B58" s="17" t="n">
        <v>3530</v>
      </c>
      <c r="C58" s="18">
        <f>(2954.0/B58*100)</f>
        <v/>
      </c>
      <c r="D58" s="19" t="n">
        <v>576</v>
      </c>
      <c r="E58" s="18" t="n">
        <v>51.26594002</v>
      </c>
      <c r="F58" s="20" t="n">
        <v>2.56156006</v>
      </c>
      <c r="G58" s="18" t="n">
        <v>5.69075144</v>
      </c>
      <c r="H58" s="20" t="n">
        <v>1.11656475</v>
      </c>
      <c r="I58" s="18" t="n">
        <v>15.34814143</v>
      </c>
      <c r="J58" s="20" t="n">
        <v>1.35636735</v>
      </c>
      <c r="K58" s="18" t="s">
        <v>349</v>
      </c>
      <c r="L58" s="20" t="s">
        <v>349</v>
      </c>
      <c r="M58" s="18" t="n">
        <v>10.92946511</v>
      </c>
      <c r="N58" s="20" t="n">
        <v>1.79709344</v>
      </c>
      <c r="O58" s="18" t="n">
        <v>0</v>
      </c>
      <c r="P58" s="20" t="n">
        <v>0</v>
      </c>
      <c r="Q58" s="18" t="n">
        <v>0</v>
      </c>
      <c r="R58" s="20" t="n">
        <v>0</v>
      </c>
      <c r="S58" s="18" t="n">
        <v>16.765702</v>
      </c>
      <c r="T58" s="20" t="n">
        <v>1.70570465</v>
      </c>
    </row>
    <row r="59" spans="1:20">
      <c r="A59" s="15" t="s">
        <v>401</v>
      </c>
      <c r="B59" s="17" t="n">
        <v>2548</v>
      </c>
      <c r="C59" s="18">
        <f>(2153.0/B59*100)</f>
        <v/>
      </c>
      <c r="D59" s="19" t="n">
        <v>395</v>
      </c>
      <c r="E59" s="18" t="n">
        <v>57.79234277</v>
      </c>
      <c r="F59" s="20" t="n">
        <v>2.84033304</v>
      </c>
      <c r="G59" s="18" t="n">
        <v>5.15096308</v>
      </c>
      <c r="H59" s="20" t="n">
        <v>1.51898727</v>
      </c>
      <c r="I59" s="18" t="n">
        <v>4.32382485</v>
      </c>
      <c r="J59" s="20" t="n">
        <v>1.11104829</v>
      </c>
      <c r="K59" s="18" t="s">
        <v>349</v>
      </c>
      <c r="L59" s="20" t="s">
        <v>349</v>
      </c>
      <c r="M59" s="18" t="n">
        <v>9.51176866</v>
      </c>
      <c r="N59" s="20" t="n">
        <v>1.7304833</v>
      </c>
      <c r="O59" s="18" t="n">
        <v>0</v>
      </c>
      <c r="P59" s="20" t="n">
        <v>0</v>
      </c>
      <c r="Q59" s="18" t="n">
        <v>0</v>
      </c>
      <c r="R59" s="20" t="n">
        <v>0</v>
      </c>
      <c r="S59" s="18" t="n">
        <v>23.22110064</v>
      </c>
      <c r="T59" s="20" t="n">
        <v>2.18045324</v>
      </c>
    </row>
    <row r="60" spans="1:20">
      <c r="A60" s="15" t="s">
        <v>402</v>
      </c>
      <c r="B60" s="17" t="n">
        <v>2095</v>
      </c>
      <c r="C60" s="18">
        <f>(1739.0/B60*100)</f>
        <v/>
      </c>
      <c r="D60" s="19" t="n">
        <v>356</v>
      </c>
      <c r="E60" s="18" t="n">
        <v>27.74106112</v>
      </c>
      <c r="F60" s="20" t="n">
        <v>2.72639984</v>
      </c>
      <c r="G60" s="18" t="n">
        <v>4.37531993</v>
      </c>
      <c r="H60" s="20" t="n">
        <v>1.22817376</v>
      </c>
      <c r="I60" s="18" t="n">
        <v>22.94289826</v>
      </c>
      <c r="J60" s="20" t="n">
        <v>2.43867635</v>
      </c>
      <c r="K60" s="18" t="s">
        <v>349</v>
      </c>
      <c r="L60" s="20" t="s">
        <v>349</v>
      </c>
      <c r="M60" s="18" t="n">
        <v>21.08347223</v>
      </c>
      <c r="N60" s="20" t="n">
        <v>2.56836835</v>
      </c>
      <c r="O60" s="18" t="n">
        <v>0.44489407</v>
      </c>
      <c r="P60" s="20" t="n">
        <v>0.44017828</v>
      </c>
      <c r="Q60" s="18" t="n">
        <v>0</v>
      </c>
      <c r="R60" s="20" t="n">
        <v>0</v>
      </c>
      <c r="S60" s="18" t="n">
        <v>23.41235439</v>
      </c>
      <c r="T60" s="20" t="n">
        <v>2.49163366</v>
      </c>
    </row>
    <row r="61" spans="1:20">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2813</v>
      </c>
      <c r="C63" s="18">
        <f>(2324.0/B63*100)</f>
        <v/>
      </c>
      <c r="D63" s="19" t="n">
        <v>489</v>
      </c>
      <c r="E63" s="18" t="n">
        <v>17.56353734</v>
      </c>
      <c r="F63" s="20" t="n">
        <v>1.62026771</v>
      </c>
      <c r="G63" s="18" t="n">
        <v>3.85803054</v>
      </c>
      <c r="H63" s="20" t="n">
        <v>1.08686728</v>
      </c>
      <c r="I63" s="18" t="n">
        <v>11.8686321</v>
      </c>
      <c r="J63" s="20" t="n">
        <v>1.414939</v>
      </c>
      <c r="K63" s="18" t="s">
        <v>349</v>
      </c>
      <c r="L63" s="20" t="s">
        <v>349</v>
      </c>
      <c r="M63" s="18" t="n">
        <v>29.1474592</v>
      </c>
      <c r="N63" s="20" t="n">
        <v>2.05903116</v>
      </c>
      <c r="O63" s="18" t="n">
        <v>0</v>
      </c>
      <c r="P63" s="20" t="n">
        <v>0</v>
      </c>
      <c r="Q63" s="18" t="n">
        <v>0</v>
      </c>
      <c r="R63" s="20" t="n">
        <v>0</v>
      </c>
      <c r="S63" s="18" t="n">
        <v>37.56234081</v>
      </c>
      <c r="T63" s="20" t="n">
        <v>1.93000143</v>
      </c>
    </row>
    <row r="64" spans="1:20">
      <c r="A64" s="15" t="s">
        <v>406</v>
      </c>
      <c r="B64" s="17" t="n">
        <v>1844</v>
      </c>
      <c r="C64" s="18">
        <f>(1556.0/B64*100)</f>
        <v/>
      </c>
      <c r="D64" s="19" t="n">
        <v>288</v>
      </c>
      <c r="E64" s="18" t="n">
        <v>23.71108087</v>
      </c>
      <c r="F64" s="20" t="n">
        <v>2.5515412</v>
      </c>
      <c r="G64" s="18" t="n">
        <v>6.47615069</v>
      </c>
      <c r="H64" s="20" t="n">
        <v>1.6327318</v>
      </c>
      <c r="I64" s="18" t="n">
        <v>36.43933928</v>
      </c>
      <c r="J64" s="20" t="n">
        <v>3.00653724</v>
      </c>
      <c r="K64" s="18" t="s">
        <v>349</v>
      </c>
      <c r="L64" s="20" t="s">
        <v>349</v>
      </c>
      <c r="M64" s="18" t="n">
        <v>13.58442968</v>
      </c>
      <c r="N64" s="20" t="n">
        <v>2.20334571</v>
      </c>
      <c r="O64" s="18" t="n">
        <v>0</v>
      </c>
      <c r="P64" s="20" t="n">
        <v>0</v>
      </c>
      <c r="Q64" s="18" t="n">
        <v>0</v>
      </c>
      <c r="R64" s="20" t="n">
        <v>0</v>
      </c>
      <c r="S64" s="18" t="n">
        <v>19.78899948</v>
      </c>
      <c r="T64" s="20" t="n">
        <v>2.31725523</v>
      </c>
    </row>
    <row r="65" spans="1:20">
      <c r="A65" s="15" t="s">
        <v>407</v>
      </c>
      <c r="B65" s="17" t="n">
        <v>2691</v>
      </c>
      <c r="C65" s="18">
        <f>(2266.0/B65*100)</f>
        <v/>
      </c>
      <c r="D65" s="19" t="n">
        <v>425</v>
      </c>
      <c r="E65" s="18" t="n">
        <v>25.10637266</v>
      </c>
      <c r="F65" s="20" t="n">
        <v>1.8458137</v>
      </c>
      <c r="G65" s="18" t="n">
        <v>8.892063289999999</v>
      </c>
      <c r="H65" s="20" t="n">
        <v>1.45992162</v>
      </c>
      <c r="I65" s="18" t="n">
        <v>15.01323264</v>
      </c>
      <c r="J65" s="20" t="n">
        <v>1.52653794</v>
      </c>
      <c r="K65" s="18" t="s">
        <v>349</v>
      </c>
      <c r="L65" s="20" t="s">
        <v>349</v>
      </c>
      <c r="M65" s="18" t="n">
        <v>16.97487533</v>
      </c>
      <c r="N65" s="20" t="n">
        <v>1.87037412</v>
      </c>
      <c r="O65" s="18" t="n">
        <v>0</v>
      </c>
      <c r="P65" s="20" t="n">
        <v>0</v>
      </c>
      <c r="Q65" s="18" t="n">
        <v>0</v>
      </c>
      <c r="R65" s="20" t="n">
        <v>0</v>
      </c>
      <c r="S65" s="18" t="n">
        <v>34.01345607</v>
      </c>
      <c r="T65" s="20" t="n">
        <v>2.35570692</v>
      </c>
    </row>
    <row r="66" spans="1:20">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2410</v>
      </c>
      <c r="C69" s="18">
        <f>(2005.0/B69*100)</f>
        <v/>
      </c>
      <c r="D69" s="19" t="n">
        <v>405</v>
      </c>
      <c r="E69" s="18" t="n">
        <v>49.85621969</v>
      </c>
      <c r="F69" s="20" t="n">
        <v>3.13918272</v>
      </c>
      <c r="G69" s="18" t="n">
        <v>24.83697527</v>
      </c>
      <c r="H69" s="20" t="n">
        <v>2.10461767</v>
      </c>
      <c r="I69" s="18" t="n">
        <v>24.39259573</v>
      </c>
      <c r="J69" s="20" t="n">
        <v>2.76390672</v>
      </c>
      <c r="K69" s="18" t="s">
        <v>349</v>
      </c>
      <c r="L69" s="20" t="s">
        <v>349</v>
      </c>
      <c r="M69" s="18" t="n">
        <v>0.43756641</v>
      </c>
      <c r="N69" s="20" t="n">
        <v>0.31387439</v>
      </c>
      <c r="O69" s="18" t="n">
        <v>0</v>
      </c>
      <c r="P69" s="20" t="n">
        <v>0</v>
      </c>
      <c r="Q69" s="18" t="n">
        <v>0</v>
      </c>
      <c r="R69" s="20" t="n">
        <v>0</v>
      </c>
      <c r="S69" s="18" t="n">
        <v>0.47664289</v>
      </c>
      <c r="T69" s="20" t="n">
        <v>0.33613007</v>
      </c>
    </row>
    <row r="70" spans="1:20">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2239</v>
      </c>
      <c r="C74" s="18">
        <f>(1856.0/B74*100)</f>
        <v/>
      </c>
      <c r="D74" s="19" t="n">
        <v>383</v>
      </c>
      <c r="E74" s="18" t="n">
        <v>24.54018281</v>
      </c>
      <c r="F74" s="20" t="n">
        <v>2.63676192</v>
      </c>
      <c r="G74" s="18" t="n">
        <v>3.56092135</v>
      </c>
      <c r="H74" s="20" t="n">
        <v>1.08042298</v>
      </c>
      <c r="I74" s="18" t="n">
        <v>14.37241946</v>
      </c>
      <c r="J74" s="20" t="n">
        <v>1.99953606</v>
      </c>
      <c r="K74" s="18" t="s">
        <v>349</v>
      </c>
      <c r="L74" s="20" t="s">
        <v>349</v>
      </c>
      <c r="M74" s="18" t="n">
        <v>24.01853051</v>
      </c>
      <c r="N74" s="20" t="n">
        <v>2.54045075</v>
      </c>
      <c r="O74" s="18" t="n">
        <v>0</v>
      </c>
      <c r="P74" s="20" t="n">
        <v>0</v>
      </c>
      <c r="Q74" s="18" t="n">
        <v>0</v>
      </c>
      <c r="R74" s="20" t="n">
        <v>0</v>
      </c>
      <c r="S74" s="18" t="n">
        <v>33.50794587</v>
      </c>
      <c r="T74" s="20" t="n">
        <v>2.89064519</v>
      </c>
    </row>
    <row r="75" spans="1:20">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2786</v>
      </c>
      <c r="C78" s="18">
        <f>(2315.0/B78*100)</f>
        <v/>
      </c>
      <c r="D78" s="19" t="n">
        <v>471</v>
      </c>
      <c r="E78" s="18" t="n">
        <v>34.86783379</v>
      </c>
      <c r="F78" s="20" t="n">
        <v>2.75647277</v>
      </c>
      <c r="G78" s="18" t="n">
        <v>15.17278034</v>
      </c>
      <c r="H78" s="20" t="n">
        <v>1.78723186</v>
      </c>
      <c r="I78" s="18" t="n">
        <v>45.9888445</v>
      </c>
      <c r="J78" s="20" t="n">
        <v>2.73207026</v>
      </c>
      <c r="K78" s="18" t="s">
        <v>349</v>
      </c>
      <c r="L78" s="20" t="s">
        <v>349</v>
      </c>
      <c r="M78" s="18" t="n">
        <v>1.45770927</v>
      </c>
      <c r="N78" s="20" t="n">
        <v>0.65625235</v>
      </c>
      <c r="O78" s="18" t="n">
        <v>0</v>
      </c>
      <c r="P78" s="20" t="n">
        <v>0</v>
      </c>
      <c r="Q78" s="18" t="n">
        <v>0</v>
      </c>
      <c r="R78" s="20" t="n">
        <v>0</v>
      </c>
      <c r="S78" s="18" t="n">
        <v>2.5128321</v>
      </c>
      <c r="T78" s="20" t="n">
        <v>1.07622275</v>
      </c>
    </row>
    <row customHeight="1" ht="25" r="79" spans="1:20">
      <c r="A79" s="15" t="s">
        <v>421</v>
      </c>
      <c r="B79" s="17" t="n">
        <v>787</v>
      </c>
      <c r="C79" s="18">
        <f>(647.0/B79*100)</f>
        <v/>
      </c>
      <c r="D79" s="19" t="n">
        <v>140</v>
      </c>
      <c r="E79" s="18" t="n">
        <v>27.80577996</v>
      </c>
      <c r="F79" s="20" t="n">
        <v>3.55086268</v>
      </c>
      <c r="G79" s="18" t="n">
        <v>6.86848484</v>
      </c>
      <c r="H79" s="20" t="n">
        <v>2.05319648</v>
      </c>
      <c r="I79" s="18" t="n">
        <v>30.74525856</v>
      </c>
      <c r="J79" s="20" t="n">
        <v>4.16924722</v>
      </c>
      <c r="K79" s="18" t="s">
        <v>349</v>
      </c>
      <c r="L79" s="20" t="s">
        <v>349</v>
      </c>
      <c r="M79" s="18" t="n">
        <v>17.80859673</v>
      </c>
      <c r="N79" s="20" t="n">
        <v>2.60188382</v>
      </c>
      <c r="O79" s="18" t="n">
        <v>0</v>
      </c>
      <c r="P79" s="20" t="n">
        <v>0</v>
      </c>
      <c r="Q79" s="18" t="n">
        <v>0</v>
      </c>
      <c r="R79" s="20" t="n">
        <v>0</v>
      </c>
      <c r="S79" s="18" t="n">
        <v>16.77187992</v>
      </c>
      <c r="T79" s="20" t="n">
        <v>3.34079543</v>
      </c>
    </row>
    <row r="80" spans="1:2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(2105.0/B44*100)</f>
        <v/>
      </c>
      <c r="D44" s="19" t="n">
        <v>419</v>
      </c>
      <c r="E44" s="18" t="n">
        <v>60.86908921</v>
      </c>
      <c r="F44" s="20" t="n">
        <v>3.11483741</v>
      </c>
      <c r="G44" s="18" t="n">
        <v>7.0564351</v>
      </c>
      <c r="H44" s="20" t="n">
        <v>1.53792324</v>
      </c>
      <c r="I44" s="18" t="s">
        <v>349</v>
      </c>
      <c r="J44" s="20" t="s">
        <v>349</v>
      </c>
      <c r="K44" s="18" t="n">
        <v>32.07447569</v>
      </c>
      <c r="L44" s="20" t="n">
        <v>2.88667551</v>
      </c>
      <c r="M44" s="18" t="n">
        <v>0</v>
      </c>
      <c r="N44" s="20" t="n">
        <v>0</v>
      </c>
      <c r="O44" s="18" t="n">
        <v>0</v>
      </c>
      <c r="P44" s="20" t="n">
        <v>0</v>
      </c>
      <c r="Q44" s="18" t="n">
        <v>0</v>
      </c>
      <c r="R44" s="20" t="n">
        <v>0</v>
      </c>
    </row>
    <row r="45" spans="1:18">
      <c r="A45" s="15" t="s">
        <v>387</v>
      </c>
      <c r="B45" s="17" t="n">
        <v>2849</v>
      </c>
      <c r="C45" s="18">
        <f>(2347.0/B45*100)</f>
        <v/>
      </c>
      <c r="D45" s="19" t="n">
        <v>502</v>
      </c>
      <c r="E45" s="18" t="n">
        <v>76.10885325</v>
      </c>
      <c r="F45" s="20" t="n">
        <v>2.17984668</v>
      </c>
      <c r="G45" s="18" t="n">
        <v>2.57591018</v>
      </c>
      <c r="H45" s="20" t="n">
        <v>0.77070622</v>
      </c>
      <c r="I45" s="18" t="s">
        <v>349</v>
      </c>
      <c r="J45" s="20" t="s">
        <v>349</v>
      </c>
      <c r="K45" s="18" t="n">
        <v>21.16428626</v>
      </c>
      <c r="L45" s="20" t="n">
        <v>2.07425108</v>
      </c>
      <c r="M45" s="18" t="n">
        <v>0</v>
      </c>
      <c r="N45" s="20" t="n">
        <v>0</v>
      </c>
      <c r="O45" s="18" t="n">
        <v>0.15095032</v>
      </c>
      <c r="P45" s="20" t="n">
        <v>0.15244897</v>
      </c>
      <c r="Q45" s="18" t="n">
        <v>0</v>
      </c>
      <c r="R45" s="20" t="n">
        <v>0</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(2502.0/B49*100)</f>
        <v/>
      </c>
      <c r="D49" s="19" t="n">
        <v>516</v>
      </c>
      <c r="E49" s="18" t="n">
        <v>73.53214957</v>
      </c>
      <c r="F49" s="20" t="n">
        <v>2.6301319</v>
      </c>
      <c r="G49" s="18" t="n">
        <v>5.97247041</v>
      </c>
      <c r="H49" s="20" t="n">
        <v>1.39295006</v>
      </c>
      <c r="I49" s="18" t="s">
        <v>349</v>
      </c>
      <c r="J49" s="20" t="s">
        <v>349</v>
      </c>
      <c r="K49" s="18" t="n">
        <v>20.21537763</v>
      </c>
      <c r="L49" s="20" t="n">
        <v>2.32345382</v>
      </c>
      <c r="M49" s="18" t="n">
        <v>0.21562754</v>
      </c>
      <c r="N49" s="20" t="n">
        <v>0.21673787</v>
      </c>
      <c r="O49" s="18" t="n">
        <v>0.06437485</v>
      </c>
      <c r="P49" s="20" t="n">
        <v>0.07090528</v>
      </c>
      <c r="Q49" s="18" t="n">
        <v>0</v>
      </c>
      <c r="R49" s="20" t="n">
        <v>0</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(2310.0/B55*100)</f>
        <v/>
      </c>
      <c r="D55" s="19" t="n">
        <v>449</v>
      </c>
      <c r="E55" s="18" t="n">
        <v>73.03976489999999</v>
      </c>
      <c r="F55" s="20" t="n">
        <v>2.27503891</v>
      </c>
      <c r="G55" s="18" t="n">
        <v>3.3202773</v>
      </c>
      <c r="H55" s="20" t="n">
        <v>0.8500861</v>
      </c>
      <c r="I55" s="18" t="s">
        <v>349</v>
      </c>
      <c r="J55" s="20" t="s">
        <v>349</v>
      </c>
      <c r="K55" s="18" t="n">
        <v>23.41624959</v>
      </c>
      <c r="L55" s="20" t="n">
        <v>2.19986607</v>
      </c>
      <c r="M55" s="18" t="n">
        <v>0</v>
      </c>
      <c r="N55" s="20" t="n">
        <v>0</v>
      </c>
      <c r="O55" s="18" t="n">
        <v>0.2237082</v>
      </c>
      <c r="P55" s="20" t="n">
        <v>0.22258049</v>
      </c>
      <c r="Q55" s="18" t="n">
        <v>0</v>
      </c>
      <c r="R55" s="20" t="n">
        <v>0</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(2640.0/B57*100)</f>
        <v/>
      </c>
      <c r="D57" s="19" t="n">
        <v>530</v>
      </c>
      <c r="E57" s="18" t="n">
        <v>86.71954928</v>
      </c>
      <c r="F57" s="20" t="n">
        <v>1.69849175</v>
      </c>
      <c r="G57" s="18" t="n">
        <v>5.45471504</v>
      </c>
      <c r="H57" s="20" t="n">
        <v>1.04226814</v>
      </c>
      <c r="I57" s="18" t="s">
        <v>349</v>
      </c>
      <c r="J57" s="20" t="s">
        <v>349</v>
      </c>
      <c r="K57" s="18" t="n">
        <v>7.82573568</v>
      </c>
      <c r="L57" s="20" t="n">
        <v>1.28067811</v>
      </c>
      <c r="M57" s="18" t="n">
        <v>0</v>
      </c>
      <c r="N57" s="20" t="n">
        <v>0</v>
      </c>
      <c r="O57" s="18" t="n">
        <v>0</v>
      </c>
      <c r="P57" s="20" t="n">
        <v>0</v>
      </c>
      <c r="Q57" s="18" t="n">
        <v>0</v>
      </c>
      <c r="R57" s="20" t="n">
        <v>0</v>
      </c>
    </row>
    <row r="58" spans="1:18">
      <c r="A58" s="15" t="s">
        <v>400</v>
      </c>
      <c r="B58" s="17" t="n">
        <v>3530</v>
      </c>
      <c r="C58" s="18">
        <f>(2954.0/B58*100)</f>
        <v/>
      </c>
      <c r="D58" s="19" t="n">
        <v>576</v>
      </c>
      <c r="E58" s="18" t="n">
        <v>79.30602555999999</v>
      </c>
      <c r="F58" s="20" t="n">
        <v>2.51223543</v>
      </c>
      <c r="G58" s="18" t="n">
        <v>7.17122302</v>
      </c>
      <c r="H58" s="20" t="n">
        <v>1.26715532</v>
      </c>
      <c r="I58" s="18" t="s">
        <v>349</v>
      </c>
      <c r="J58" s="20" t="s">
        <v>349</v>
      </c>
      <c r="K58" s="18" t="n">
        <v>13.52275142</v>
      </c>
      <c r="L58" s="20" t="n">
        <v>1.99879075</v>
      </c>
      <c r="M58" s="18" t="n">
        <v>0</v>
      </c>
      <c r="N58" s="20" t="n">
        <v>0</v>
      </c>
      <c r="O58" s="18" t="n">
        <v>0</v>
      </c>
      <c r="P58" s="20" t="n">
        <v>0</v>
      </c>
      <c r="Q58" s="18" t="n">
        <v>0</v>
      </c>
      <c r="R58" s="20" t="n">
        <v>0</v>
      </c>
    </row>
    <row r="59" spans="1:18">
      <c r="A59" s="15" t="s">
        <v>401</v>
      </c>
      <c r="B59" s="17" t="n">
        <v>2548</v>
      </c>
      <c r="C59" s="18">
        <f>(2153.0/B59*100)</f>
        <v/>
      </c>
      <c r="D59" s="19" t="n">
        <v>395</v>
      </c>
      <c r="E59" s="18" t="n">
        <v>84.42955843</v>
      </c>
      <c r="F59" s="20" t="n">
        <v>2.13799763</v>
      </c>
      <c r="G59" s="18" t="n">
        <v>5.19194818</v>
      </c>
      <c r="H59" s="20" t="n">
        <v>1.57254515</v>
      </c>
      <c r="I59" s="18" t="s">
        <v>349</v>
      </c>
      <c r="J59" s="20" t="s">
        <v>349</v>
      </c>
      <c r="K59" s="18" t="n">
        <v>10.37849338</v>
      </c>
      <c r="L59" s="20" t="n">
        <v>1.82982653</v>
      </c>
      <c r="M59" s="18" t="n">
        <v>0</v>
      </c>
      <c r="N59" s="20" t="n">
        <v>0</v>
      </c>
      <c r="O59" s="18" t="n">
        <v>0</v>
      </c>
      <c r="P59" s="20" t="n">
        <v>0</v>
      </c>
      <c r="Q59" s="18" t="n">
        <v>0</v>
      </c>
      <c r="R59" s="20" t="n">
        <v>0</v>
      </c>
    </row>
    <row r="60" spans="1:18">
      <c r="A60" s="15" t="s">
        <v>402</v>
      </c>
      <c r="B60" s="17" t="n">
        <v>2095</v>
      </c>
      <c r="C60" s="18">
        <f>(1739.0/B60*100)</f>
        <v/>
      </c>
      <c r="D60" s="19" t="n">
        <v>356</v>
      </c>
      <c r="E60" s="18" t="n">
        <v>65.42371045</v>
      </c>
      <c r="F60" s="20" t="n">
        <v>2.77359621</v>
      </c>
      <c r="G60" s="18" t="n">
        <v>7.88584896</v>
      </c>
      <c r="H60" s="20" t="n">
        <v>1.37648538</v>
      </c>
      <c r="I60" s="18" t="s">
        <v>349</v>
      </c>
      <c r="J60" s="20" t="s">
        <v>349</v>
      </c>
      <c r="K60" s="18" t="n">
        <v>26.69044059</v>
      </c>
      <c r="L60" s="20" t="n">
        <v>2.70633303</v>
      </c>
      <c r="M60" s="18" t="n">
        <v>0</v>
      </c>
      <c r="N60" s="20" t="n">
        <v>0</v>
      </c>
      <c r="O60" s="18" t="n">
        <v>0</v>
      </c>
      <c r="P60" s="20" t="n">
        <v>0</v>
      </c>
      <c r="Q60" s="18" t="n">
        <v>0</v>
      </c>
      <c r="R60" s="20" t="n">
        <v>0</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(2324.0/B63*100)</f>
        <v/>
      </c>
      <c r="D63" s="19" t="n">
        <v>489</v>
      </c>
      <c r="E63" s="18" t="n">
        <v>64.24785614</v>
      </c>
      <c r="F63" s="20" t="n">
        <v>2.31496174</v>
      </c>
      <c r="G63" s="18" t="n">
        <v>3.25024644</v>
      </c>
      <c r="H63" s="20" t="n">
        <v>0.76575656</v>
      </c>
      <c r="I63" s="18" t="s">
        <v>349</v>
      </c>
      <c r="J63" s="20" t="s">
        <v>349</v>
      </c>
      <c r="K63" s="18" t="n">
        <v>32.50189742</v>
      </c>
      <c r="L63" s="20" t="n">
        <v>2.18603928</v>
      </c>
      <c r="M63" s="18" t="n">
        <v>0</v>
      </c>
      <c r="N63" s="20" t="n">
        <v>0</v>
      </c>
      <c r="O63" s="18" t="n">
        <v>0</v>
      </c>
      <c r="P63" s="20" t="n">
        <v>0</v>
      </c>
      <c r="Q63" s="18" t="n">
        <v>0</v>
      </c>
      <c r="R63" s="20" t="n">
        <v>0</v>
      </c>
    </row>
    <row r="64" spans="1:18">
      <c r="A64" s="15" t="s">
        <v>406</v>
      </c>
      <c r="B64" s="17" t="n">
        <v>1844</v>
      </c>
      <c r="C64" s="18">
        <f>(1556.0/B64*100)</f>
        <v/>
      </c>
      <c r="D64" s="19" t="n">
        <v>288</v>
      </c>
      <c r="E64" s="18" t="n">
        <v>60.54343089</v>
      </c>
      <c r="F64" s="20" t="n">
        <v>2.79583102</v>
      </c>
      <c r="G64" s="18" t="n">
        <v>23.30159703</v>
      </c>
      <c r="H64" s="20" t="n">
        <v>2.42766485</v>
      </c>
      <c r="I64" s="18" t="s">
        <v>349</v>
      </c>
      <c r="J64" s="20" t="s">
        <v>349</v>
      </c>
      <c r="K64" s="18" t="n">
        <v>16.15497208</v>
      </c>
      <c r="L64" s="20" t="n">
        <v>2.33921582</v>
      </c>
      <c r="M64" s="18" t="n">
        <v>0</v>
      </c>
      <c r="N64" s="20" t="n">
        <v>0</v>
      </c>
      <c r="O64" s="18" t="n">
        <v>0</v>
      </c>
      <c r="P64" s="20" t="n">
        <v>0</v>
      </c>
      <c r="Q64" s="18" t="n">
        <v>0</v>
      </c>
      <c r="R64" s="20" t="n">
        <v>0</v>
      </c>
    </row>
    <row r="65" spans="1:18">
      <c r="A65" s="15" t="s">
        <v>407</v>
      </c>
      <c r="B65" s="17" t="n">
        <v>2691</v>
      </c>
      <c r="C65" s="18">
        <f>(2266.0/B65*100)</f>
        <v/>
      </c>
      <c r="D65" s="19" t="n">
        <v>425</v>
      </c>
      <c r="E65" s="18" t="n">
        <v>70.54444012</v>
      </c>
      <c r="F65" s="20" t="n">
        <v>2.15607456</v>
      </c>
      <c r="G65" s="18" t="n">
        <v>6.9650122</v>
      </c>
      <c r="H65" s="20" t="n">
        <v>1.09521839</v>
      </c>
      <c r="I65" s="18" t="s">
        <v>349</v>
      </c>
      <c r="J65" s="20" t="s">
        <v>349</v>
      </c>
      <c r="K65" s="18" t="n">
        <v>22.49054768</v>
      </c>
      <c r="L65" s="20" t="n">
        <v>2.16770157</v>
      </c>
      <c r="M65" s="18" t="n">
        <v>0</v>
      </c>
      <c r="N65" s="20" t="n">
        <v>0</v>
      </c>
      <c r="O65" s="18" t="n">
        <v>0</v>
      </c>
      <c r="P65" s="20" t="n">
        <v>0</v>
      </c>
      <c r="Q65" s="18" t="n">
        <v>0</v>
      </c>
      <c r="R65" s="20" t="n">
        <v>0</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(2005.0/B69*100)</f>
        <v/>
      </c>
      <c r="D69" s="19" t="n">
        <v>405</v>
      </c>
      <c r="E69" s="18" t="n">
        <v>75.10387851999999</v>
      </c>
      <c r="F69" s="20" t="n">
        <v>1.88093977</v>
      </c>
      <c r="G69" s="18" t="n">
        <v>24.23291479</v>
      </c>
      <c r="H69" s="20" t="n">
        <v>1.87651626</v>
      </c>
      <c r="I69" s="18" t="s">
        <v>349</v>
      </c>
      <c r="J69" s="20" t="s">
        <v>349</v>
      </c>
      <c r="K69" s="18" t="n">
        <v>0.66320669</v>
      </c>
      <c r="L69" s="20" t="n">
        <v>0.2354048</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(1856.0/B74*100)</f>
        <v/>
      </c>
      <c r="D74" s="19" t="n">
        <v>383</v>
      </c>
      <c r="E74" s="18" t="n">
        <v>64.99155954</v>
      </c>
      <c r="F74" s="20" t="n">
        <v>2.94556396</v>
      </c>
      <c r="G74" s="18" t="n">
        <v>7.21111078</v>
      </c>
      <c r="H74" s="20" t="n">
        <v>1.21893179</v>
      </c>
      <c r="I74" s="18" t="s">
        <v>349</v>
      </c>
      <c r="J74" s="20" t="s">
        <v>349</v>
      </c>
      <c r="K74" s="18" t="n">
        <v>27.79732968</v>
      </c>
      <c r="L74" s="20" t="n">
        <v>2.64860823</v>
      </c>
      <c r="M74" s="18" t="n">
        <v>0</v>
      </c>
      <c r="N74" s="20" t="n">
        <v>0</v>
      </c>
      <c r="O74" s="18" t="n">
        <v>0</v>
      </c>
      <c r="P74" s="20" t="n">
        <v>0</v>
      </c>
      <c r="Q74" s="18" t="n">
        <v>0</v>
      </c>
      <c r="R74" s="20" t="n">
        <v>0</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(2315.0/B78*100)</f>
        <v/>
      </c>
      <c r="D78" s="19" t="n">
        <v>471</v>
      </c>
      <c r="E78" s="18" t="n">
        <v>73.73730232</v>
      </c>
      <c r="F78" s="20" t="n">
        <v>2.18305766</v>
      </c>
      <c r="G78" s="18" t="n">
        <v>23.49679671</v>
      </c>
      <c r="H78" s="20" t="n">
        <v>2.21406221</v>
      </c>
      <c r="I78" s="18" t="s">
        <v>349</v>
      </c>
      <c r="J78" s="20" t="s">
        <v>349</v>
      </c>
      <c r="K78" s="18" t="n">
        <v>2.76590097</v>
      </c>
      <c r="L78" s="20" t="n">
        <v>0.87074401</v>
      </c>
      <c r="M78" s="18" t="n">
        <v>0</v>
      </c>
      <c r="N78" s="20" t="n">
        <v>0</v>
      </c>
      <c r="O78" s="18" t="n">
        <v>0</v>
      </c>
      <c r="P78" s="20" t="n">
        <v>0</v>
      </c>
      <c r="Q78" s="18" t="n">
        <v>0</v>
      </c>
      <c r="R78" s="20" t="n">
        <v>0</v>
      </c>
    </row>
    <row customHeight="1" ht="25" r="79" spans="1:18">
      <c r="A79" s="15" t="s">
        <v>421</v>
      </c>
      <c r="B79" s="17" t="n">
        <v>787</v>
      </c>
      <c r="C79" s="18">
        <f>(647.0/B79*100)</f>
        <v/>
      </c>
      <c r="D79" s="19" t="n">
        <v>140</v>
      </c>
      <c r="E79" s="18" t="n">
        <v>69.14190211</v>
      </c>
      <c r="F79" s="20" t="n">
        <v>3.51881317</v>
      </c>
      <c r="G79" s="18" t="n">
        <v>7.46859815</v>
      </c>
      <c r="H79" s="20" t="n">
        <v>2.63157675</v>
      </c>
      <c r="I79" s="18" t="s">
        <v>349</v>
      </c>
      <c r="J79" s="20" t="s">
        <v>349</v>
      </c>
      <c r="K79" s="18" t="n">
        <v>22.64221631</v>
      </c>
      <c r="L79" s="20" t="n">
        <v>3.3737403</v>
      </c>
      <c r="M79" s="18" t="n">
        <v>0</v>
      </c>
      <c r="N79" s="20" t="n">
        <v>0</v>
      </c>
      <c r="O79" s="18" t="n">
        <v>0.74728343</v>
      </c>
      <c r="P79" s="20" t="n">
        <v>0.83211748</v>
      </c>
      <c r="Q79" s="18" t="n">
        <v>0</v>
      </c>
      <c r="R79" s="20" t="n">
        <v>0</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16.62671429</v>
      </c>
      <c r="F44" s="20" t="n">
        <v>1.9188223</v>
      </c>
      <c r="G44" s="18" t="n">
        <v>67.69375655</v>
      </c>
      <c r="H44" s="20" t="n">
        <v>2.85446078</v>
      </c>
      <c r="I44" s="18" t="s">
        <v>349</v>
      </c>
      <c r="J44" s="20" t="s">
        <v>349</v>
      </c>
      <c r="K44" s="18" t="n">
        <v>1.2231369</v>
      </c>
      <c r="L44" s="20" t="n">
        <v>0.56252565</v>
      </c>
      <c r="M44" s="18" t="n">
        <v>0</v>
      </c>
      <c r="N44" s="20" t="n">
        <v>0</v>
      </c>
      <c r="O44" s="18" t="n">
        <v>0</v>
      </c>
      <c r="P44" s="20" t="n">
        <v>0</v>
      </c>
      <c r="Q44" s="18" t="n">
        <v>14.45639226</v>
      </c>
      <c r="R44" s="20" t="n">
        <v>2.0242104</v>
      </c>
    </row>
    <row r="45" spans="1:18">
      <c r="A45" s="15" t="s">
        <v>387</v>
      </c>
      <c r="B45" s="17" t="n">
        <v>2849</v>
      </c>
      <c r="C45" s="18">
        <f>(2366.0/B45*100)</f>
        <v/>
      </c>
      <c r="D45" s="19" t="n">
        <v>483</v>
      </c>
      <c r="E45" s="18" t="n">
        <v>36.72768037</v>
      </c>
      <c r="F45" s="20" t="n">
        <v>2.46192702</v>
      </c>
      <c r="G45" s="18" t="n">
        <v>44.63726955</v>
      </c>
      <c r="H45" s="20" t="n">
        <v>2.17464721</v>
      </c>
      <c r="I45" s="18" t="s">
        <v>349</v>
      </c>
      <c r="J45" s="20" t="s">
        <v>349</v>
      </c>
      <c r="K45" s="18" t="n">
        <v>2.50693973</v>
      </c>
      <c r="L45" s="20" t="n">
        <v>0.7611021</v>
      </c>
      <c r="M45" s="18" t="n">
        <v>0</v>
      </c>
      <c r="N45" s="20" t="n">
        <v>0</v>
      </c>
      <c r="O45" s="18" t="n">
        <v>0.17508012</v>
      </c>
      <c r="P45" s="20" t="n">
        <v>0.18147691</v>
      </c>
      <c r="Q45" s="18" t="n">
        <v>15.95303023</v>
      </c>
      <c r="R45" s="20" t="n">
        <v>1.89158533</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17.25836406</v>
      </c>
      <c r="F49" s="20" t="n">
        <v>1.86162883</v>
      </c>
      <c r="G49" s="18" t="n">
        <v>74.67133681999999</v>
      </c>
      <c r="H49" s="20" t="n">
        <v>2.31561328</v>
      </c>
      <c r="I49" s="18" t="s">
        <v>349</v>
      </c>
      <c r="J49" s="20" t="s">
        <v>349</v>
      </c>
      <c r="K49" s="18" t="n">
        <v>0.63360329</v>
      </c>
      <c r="L49" s="20" t="n">
        <v>0.31072511</v>
      </c>
      <c r="M49" s="18" t="n">
        <v>0</v>
      </c>
      <c r="N49" s="20" t="n">
        <v>0</v>
      </c>
      <c r="O49" s="18" t="n">
        <v>0</v>
      </c>
      <c r="P49" s="20" t="n">
        <v>0</v>
      </c>
      <c r="Q49" s="18" t="n">
        <v>7.43669583</v>
      </c>
      <c r="R49" s="20" t="n">
        <v>1.42772502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29.11152248</v>
      </c>
      <c r="F55" s="20" t="n">
        <v>2.10196801</v>
      </c>
      <c r="G55" s="18" t="n">
        <v>53.32767502</v>
      </c>
      <c r="H55" s="20" t="n">
        <v>2.36257493</v>
      </c>
      <c r="I55" s="18" t="s">
        <v>349</v>
      </c>
      <c r="J55" s="20" t="s">
        <v>349</v>
      </c>
      <c r="K55" s="18" t="n">
        <v>0.83050225</v>
      </c>
      <c r="L55" s="20" t="n">
        <v>0.40406024</v>
      </c>
      <c r="M55" s="18" t="n">
        <v>0</v>
      </c>
      <c r="N55" s="20" t="n">
        <v>0</v>
      </c>
      <c r="O55" s="18" t="n">
        <v>0</v>
      </c>
      <c r="P55" s="20" t="n">
        <v>0</v>
      </c>
      <c r="Q55" s="18" t="n">
        <v>16.73030025</v>
      </c>
      <c r="R55" s="20" t="n">
        <v>1.98001131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36.48533892</v>
      </c>
      <c r="F57" s="20" t="n">
        <v>2.15626404</v>
      </c>
      <c r="G57" s="18" t="n">
        <v>60.70655245</v>
      </c>
      <c r="H57" s="20" t="n">
        <v>2.21237805</v>
      </c>
      <c r="I57" s="18" t="s">
        <v>349</v>
      </c>
      <c r="J57" s="20" t="s">
        <v>349</v>
      </c>
      <c r="K57" s="18" t="n">
        <v>0.32428447</v>
      </c>
      <c r="L57" s="20" t="n">
        <v>0.22914117</v>
      </c>
      <c r="M57" s="18" t="n">
        <v>0</v>
      </c>
      <c r="N57" s="20" t="n">
        <v>0</v>
      </c>
      <c r="O57" s="18" t="n">
        <v>0</v>
      </c>
      <c r="P57" s="20" t="n">
        <v>0</v>
      </c>
      <c r="Q57" s="18" t="n">
        <v>2.48382415</v>
      </c>
      <c r="R57" s="20" t="n">
        <v>0.92528339</v>
      </c>
    </row>
    <row r="58" spans="1:18">
      <c r="A58" s="15" t="s">
        <v>400</v>
      </c>
      <c r="B58" s="17" t="n">
        <v>3530</v>
      </c>
      <c r="C58" s="18">
        <f>(2946.0/B58*100)</f>
        <v/>
      </c>
      <c r="D58" s="19" t="n">
        <v>584</v>
      </c>
      <c r="E58" s="18" t="n">
        <v>31.5524696</v>
      </c>
      <c r="F58" s="20" t="n">
        <v>2.67650312</v>
      </c>
      <c r="G58" s="18" t="n">
        <v>55.41291238</v>
      </c>
      <c r="H58" s="20" t="n">
        <v>2.7159806</v>
      </c>
      <c r="I58" s="18" t="s">
        <v>349</v>
      </c>
      <c r="J58" s="20" t="s">
        <v>349</v>
      </c>
      <c r="K58" s="18" t="n">
        <v>1.1731608</v>
      </c>
      <c r="L58" s="20" t="n">
        <v>0.5084525600000001</v>
      </c>
      <c r="M58" s="18" t="n">
        <v>0</v>
      </c>
      <c r="N58" s="20" t="n">
        <v>0</v>
      </c>
      <c r="O58" s="18" t="n">
        <v>0</v>
      </c>
      <c r="P58" s="20" t="n">
        <v>0</v>
      </c>
      <c r="Q58" s="18" t="n">
        <v>11.86145723</v>
      </c>
      <c r="R58" s="20" t="n">
        <v>1.7599321</v>
      </c>
    </row>
    <row r="59" spans="1:18">
      <c r="A59" s="15" t="s">
        <v>401</v>
      </c>
      <c r="B59" s="17" t="n">
        <v>2548</v>
      </c>
      <c r="C59" s="18">
        <f>(2102.0/B59*100)</f>
        <v/>
      </c>
      <c r="D59" s="19" t="n">
        <v>446</v>
      </c>
      <c r="E59" s="18" t="n">
        <v>33.7313581</v>
      </c>
      <c r="F59" s="20" t="n">
        <v>2.59354907</v>
      </c>
      <c r="G59" s="18" t="n">
        <v>58.0843521</v>
      </c>
      <c r="H59" s="20" t="n">
        <v>2.75454563</v>
      </c>
      <c r="I59" s="18" t="s">
        <v>349</v>
      </c>
      <c r="J59" s="20" t="s">
        <v>349</v>
      </c>
      <c r="K59" s="18" t="n">
        <v>0</v>
      </c>
      <c r="L59" s="20" t="n">
        <v>0</v>
      </c>
      <c r="M59" s="18" t="n">
        <v>0</v>
      </c>
      <c r="N59" s="20" t="n">
        <v>0</v>
      </c>
      <c r="O59" s="18" t="n">
        <v>0</v>
      </c>
      <c r="P59" s="20" t="n">
        <v>0</v>
      </c>
      <c r="Q59" s="18" t="n">
        <v>8.184289789999999</v>
      </c>
      <c r="R59" s="20" t="n">
        <v>1.23117705</v>
      </c>
    </row>
    <row r="60" spans="1:18">
      <c r="A60" s="15" t="s">
        <v>402</v>
      </c>
      <c r="B60" s="17" t="n">
        <v>2095</v>
      </c>
      <c r="C60" s="18">
        <f>(1741.0/B60*100)</f>
        <v/>
      </c>
      <c r="D60" s="19" t="n">
        <v>354</v>
      </c>
      <c r="E60" s="18" t="n">
        <v>19.14153588</v>
      </c>
      <c r="F60" s="20" t="n">
        <v>2.20786463</v>
      </c>
      <c r="G60" s="18" t="n">
        <v>62.17698558</v>
      </c>
      <c r="H60" s="20" t="n">
        <v>2.90736358</v>
      </c>
      <c r="I60" s="18" t="s">
        <v>349</v>
      </c>
      <c r="J60" s="20" t="s">
        <v>349</v>
      </c>
      <c r="K60" s="18" t="n">
        <v>0.69120225</v>
      </c>
      <c r="L60" s="20" t="n">
        <v>0.47768882</v>
      </c>
      <c r="M60" s="18" t="n">
        <v>0</v>
      </c>
      <c r="N60" s="20" t="n">
        <v>0</v>
      </c>
      <c r="O60" s="18" t="n">
        <v>0</v>
      </c>
      <c r="P60" s="20" t="n">
        <v>0</v>
      </c>
      <c r="Q60" s="18" t="n">
        <v>17.99027628</v>
      </c>
      <c r="R60" s="20" t="n">
        <v>2.10696396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21.56862312</v>
      </c>
      <c r="F63" s="20" t="n">
        <v>1.93358216</v>
      </c>
      <c r="G63" s="18" t="n">
        <v>59.420002</v>
      </c>
      <c r="H63" s="20" t="n">
        <v>2.47910558</v>
      </c>
      <c r="I63" s="18" t="s">
        <v>349</v>
      </c>
      <c r="J63" s="20" t="s">
        <v>349</v>
      </c>
      <c r="K63" s="18" t="n">
        <v>0.92820842</v>
      </c>
      <c r="L63" s="20" t="n">
        <v>0.41300956</v>
      </c>
      <c r="M63" s="18" t="n">
        <v>0</v>
      </c>
      <c r="N63" s="20" t="n">
        <v>0</v>
      </c>
      <c r="O63" s="18" t="n">
        <v>0.16518439</v>
      </c>
      <c r="P63" s="20" t="n">
        <v>0.16372923</v>
      </c>
      <c r="Q63" s="18" t="n">
        <v>17.91798206</v>
      </c>
      <c r="R63" s="20" t="n">
        <v>1.83704767</v>
      </c>
    </row>
    <row r="64" spans="1:18">
      <c r="A64" s="15" t="s">
        <v>406</v>
      </c>
      <c r="B64" s="17" t="n">
        <v>1844</v>
      </c>
      <c r="C64" s="18">
        <f>(1531.0/B64*100)</f>
        <v/>
      </c>
      <c r="D64" s="19" t="n">
        <v>313</v>
      </c>
      <c r="E64" s="18" t="n">
        <v>9.599966139999999</v>
      </c>
      <c r="F64" s="20" t="n">
        <v>1.66703965</v>
      </c>
      <c r="G64" s="18" t="n">
        <v>80.64123798999999</v>
      </c>
      <c r="H64" s="20" t="n">
        <v>2.4547285</v>
      </c>
      <c r="I64" s="18" t="s">
        <v>349</v>
      </c>
      <c r="J64" s="20" t="s">
        <v>349</v>
      </c>
      <c r="K64" s="18" t="n">
        <v>2.5054122</v>
      </c>
      <c r="L64" s="20" t="n">
        <v>0.914508</v>
      </c>
      <c r="M64" s="18" t="n">
        <v>0</v>
      </c>
      <c r="N64" s="20" t="n">
        <v>0</v>
      </c>
      <c r="O64" s="18" t="n">
        <v>0</v>
      </c>
      <c r="P64" s="20" t="n">
        <v>0</v>
      </c>
      <c r="Q64" s="18" t="n">
        <v>7.25338368</v>
      </c>
      <c r="R64" s="20" t="n">
        <v>1.49390405</v>
      </c>
    </row>
    <row r="65" spans="1:18">
      <c r="A65" s="15" t="s">
        <v>407</v>
      </c>
      <c r="B65" s="17" t="n">
        <v>2691</v>
      </c>
      <c r="C65" s="18">
        <f>(2249.0/B65*100)</f>
        <v/>
      </c>
      <c r="D65" s="19" t="n">
        <v>442</v>
      </c>
      <c r="E65" s="18" t="n">
        <v>19.02146976</v>
      </c>
      <c r="F65" s="20" t="n">
        <v>2.07220789</v>
      </c>
      <c r="G65" s="18" t="n">
        <v>66.17856177</v>
      </c>
      <c r="H65" s="20" t="n">
        <v>2.45099255</v>
      </c>
      <c r="I65" s="18" t="s">
        <v>349</v>
      </c>
      <c r="J65" s="20" t="s">
        <v>349</v>
      </c>
      <c r="K65" s="18" t="n">
        <v>2.02193689</v>
      </c>
      <c r="L65" s="20" t="n">
        <v>0.64510589</v>
      </c>
      <c r="M65" s="18" t="n">
        <v>0</v>
      </c>
      <c r="N65" s="20" t="n">
        <v>0</v>
      </c>
      <c r="O65" s="18" t="n">
        <v>0</v>
      </c>
      <c r="P65" s="20" t="n">
        <v>0</v>
      </c>
      <c r="Q65" s="18" t="n">
        <v>12.77803159</v>
      </c>
      <c r="R65" s="20" t="n">
        <v>1.56788517</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22.44332312</v>
      </c>
      <c r="F69" s="20" t="n">
        <v>2.37236644</v>
      </c>
      <c r="G69" s="18" t="n">
        <v>77.55667688</v>
      </c>
      <c r="H69" s="20" t="n">
        <v>2.37236644</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14.35732817</v>
      </c>
      <c r="F74" s="20" t="n">
        <v>1.961768</v>
      </c>
      <c r="G74" s="18" t="n">
        <v>71.77153398999999</v>
      </c>
      <c r="H74" s="20" t="n">
        <v>2.37885151</v>
      </c>
      <c r="I74" s="18" t="s">
        <v>349</v>
      </c>
      <c r="J74" s="20" t="s">
        <v>349</v>
      </c>
      <c r="K74" s="18" t="n">
        <v>3.93397439</v>
      </c>
      <c r="L74" s="20" t="n">
        <v>1.17229946</v>
      </c>
      <c r="M74" s="18" t="n">
        <v>0</v>
      </c>
      <c r="N74" s="20" t="n">
        <v>0</v>
      </c>
      <c r="O74" s="18" t="n">
        <v>0</v>
      </c>
      <c r="P74" s="20" t="n">
        <v>0</v>
      </c>
      <c r="Q74" s="18" t="n">
        <v>9.937163460000001</v>
      </c>
      <c r="R74" s="20" t="n">
        <v>1.28364772</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18.88041802</v>
      </c>
      <c r="F78" s="20" t="n">
        <v>2.21198866</v>
      </c>
      <c r="G78" s="18" t="n">
        <v>80.16737998000001</v>
      </c>
      <c r="H78" s="20" t="n">
        <v>2.32242911</v>
      </c>
      <c r="I78" s="18" t="s">
        <v>349</v>
      </c>
      <c r="J78" s="20" t="s">
        <v>349</v>
      </c>
      <c r="K78" s="18" t="n">
        <v>0</v>
      </c>
      <c r="L78" s="20" t="n">
        <v>0</v>
      </c>
      <c r="M78" s="18" t="n">
        <v>0</v>
      </c>
      <c r="N78" s="20" t="n">
        <v>0</v>
      </c>
      <c r="O78" s="18" t="n">
        <v>0</v>
      </c>
      <c r="P78" s="20" t="n">
        <v>0</v>
      </c>
      <c r="Q78" s="18" t="n">
        <v>0.952202</v>
      </c>
      <c r="R78" s="20" t="n">
        <v>0.5502903</v>
      </c>
    </row>
    <row customHeight="1" ht="25" r="79" spans="1:18">
      <c r="A79" s="15" t="s">
        <v>421</v>
      </c>
      <c r="B79" s="17" t="n">
        <v>787</v>
      </c>
      <c r="C79" s="18">
        <f>(653.0/B79*100)</f>
        <v/>
      </c>
      <c r="D79" s="19" t="n">
        <v>134</v>
      </c>
      <c r="E79" s="18" t="n">
        <v>11.44265785</v>
      </c>
      <c r="F79" s="20" t="n">
        <v>2.6059551</v>
      </c>
      <c r="G79" s="18" t="n">
        <v>81.77759261</v>
      </c>
      <c r="H79" s="20" t="n">
        <v>3.18388939</v>
      </c>
      <c r="I79" s="18" t="s">
        <v>349</v>
      </c>
      <c r="J79" s="20" t="s">
        <v>349</v>
      </c>
      <c r="K79" s="18" t="n">
        <v>2.81651175</v>
      </c>
      <c r="L79" s="20" t="n">
        <v>1.52144435</v>
      </c>
      <c r="M79" s="18" t="n">
        <v>0</v>
      </c>
      <c r="N79" s="20" t="n">
        <v>0</v>
      </c>
      <c r="O79" s="18" t="n">
        <v>0</v>
      </c>
      <c r="P79" s="20" t="n">
        <v>0</v>
      </c>
      <c r="Q79" s="18" t="n">
        <v>3.96323779</v>
      </c>
      <c r="R79" s="20" t="n">
        <v>1.47802382</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45.89383756</v>
      </c>
      <c r="F44" s="20" t="n">
        <v>2.55653173</v>
      </c>
      <c r="G44" s="18" t="n">
        <v>40.14478939</v>
      </c>
      <c r="H44" s="20" t="n">
        <v>2.68796329</v>
      </c>
      <c r="I44" s="18" t="s">
        <v>349</v>
      </c>
      <c r="J44" s="20" t="s">
        <v>349</v>
      </c>
      <c r="K44" s="18" t="n">
        <v>1.63833318</v>
      </c>
      <c r="L44" s="20" t="n">
        <v>0.70768924</v>
      </c>
      <c r="M44" s="18" t="n">
        <v>0</v>
      </c>
      <c r="N44" s="20" t="n">
        <v>0</v>
      </c>
      <c r="O44" s="18" t="n">
        <v>0.21164064</v>
      </c>
      <c r="P44" s="20" t="n">
        <v>0.23859998</v>
      </c>
      <c r="Q44" s="18" t="n">
        <v>12.11139924</v>
      </c>
      <c r="R44" s="20" t="n">
        <v>1.6612605</v>
      </c>
    </row>
    <row r="45" spans="1:18">
      <c r="A45" s="15" t="s">
        <v>387</v>
      </c>
      <c r="B45" s="17" t="n">
        <v>2849</v>
      </c>
      <c r="C45" s="18">
        <f>(2366.0/B45*100)</f>
        <v/>
      </c>
      <c r="D45" s="19" t="n">
        <v>483</v>
      </c>
      <c r="E45" s="18" t="n">
        <v>65.16094201</v>
      </c>
      <c r="F45" s="20" t="n">
        <v>2.05278119</v>
      </c>
      <c r="G45" s="18" t="n">
        <v>20.65903199</v>
      </c>
      <c r="H45" s="20" t="n">
        <v>1.78755006</v>
      </c>
      <c r="I45" s="18" t="s">
        <v>349</v>
      </c>
      <c r="J45" s="20" t="s">
        <v>349</v>
      </c>
      <c r="K45" s="18" t="n">
        <v>2.50693973</v>
      </c>
      <c r="L45" s="20" t="n">
        <v>0.7611021</v>
      </c>
      <c r="M45" s="18" t="n">
        <v>0.2658262</v>
      </c>
      <c r="N45" s="20" t="n">
        <v>0.17313217</v>
      </c>
      <c r="O45" s="18" t="n">
        <v>1.20409622</v>
      </c>
      <c r="P45" s="20" t="n">
        <v>0.52499141</v>
      </c>
      <c r="Q45" s="18" t="n">
        <v>10.20316385</v>
      </c>
      <c r="R45" s="20" t="n">
        <v>1.46992174</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48.11237909</v>
      </c>
      <c r="F49" s="20" t="n">
        <v>2.7722445</v>
      </c>
      <c r="G49" s="18" t="n">
        <v>47.28058573</v>
      </c>
      <c r="H49" s="20" t="n">
        <v>2.71439478</v>
      </c>
      <c r="I49" s="18" t="s">
        <v>349</v>
      </c>
      <c r="J49" s="20" t="s">
        <v>349</v>
      </c>
      <c r="K49" s="18" t="n">
        <v>0.83878403</v>
      </c>
      <c r="L49" s="20" t="n">
        <v>0.36706873</v>
      </c>
      <c r="M49" s="18" t="n">
        <v>0</v>
      </c>
      <c r="N49" s="20" t="n">
        <v>0</v>
      </c>
      <c r="O49" s="18" t="n">
        <v>0.30542452</v>
      </c>
      <c r="P49" s="20" t="n">
        <v>0.30504453</v>
      </c>
      <c r="Q49" s="18" t="n">
        <v>3.46282663</v>
      </c>
      <c r="R49" s="20" t="n">
        <v>0.9266704</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54.81820163</v>
      </c>
      <c r="F55" s="20" t="n">
        <v>2.12441053</v>
      </c>
      <c r="G55" s="18" t="n">
        <v>38.13602875</v>
      </c>
      <c r="H55" s="20" t="n">
        <v>2.02729074</v>
      </c>
      <c r="I55" s="18" t="s">
        <v>349</v>
      </c>
      <c r="J55" s="20" t="s">
        <v>349</v>
      </c>
      <c r="K55" s="18" t="n">
        <v>1.28776656</v>
      </c>
      <c r="L55" s="20" t="n">
        <v>0.5010048</v>
      </c>
      <c r="M55" s="18" t="n">
        <v>0</v>
      </c>
      <c r="N55" s="20" t="n">
        <v>0</v>
      </c>
      <c r="O55" s="18" t="n">
        <v>0.24297673</v>
      </c>
      <c r="P55" s="20" t="n">
        <v>0.24143291</v>
      </c>
      <c r="Q55" s="18" t="n">
        <v>5.51502633</v>
      </c>
      <c r="R55" s="20" t="n">
        <v>1.18311986</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64.28113888999999</v>
      </c>
      <c r="F57" s="20" t="n">
        <v>2.21402493</v>
      </c>
      <c r="G57" s="18" t="n">
        <v>31.48375491</v>
      </c>
      <c r="H57" s="20" t="n">
        <v>1.99281652</v>
      </c>
      <c r="I57" s="18" t="s">
        <v>349</v>
      </c>
      <c r="J57" s="20" t="s">
        <v>349</v>
      </c>
      <c r="K57" s="18" t="n">
        <v>0.32428447</v>
      </c>
      <c r="L57" s="20" t="n">
        <v>0.22914117</v>
      </c>
      <c r="M57" s="18" t="n">
        <v>0</v>
      </c>
      <c r="N57" s="20" t="n">
        <v>0</v>
      </c>
      <c r="O57" s="18" t="n">
        <v>0</v>
      </c>
      <c r="P57" s="20" t="n">
        <v>0</v>
      </c>
      <c r="Q57" s="18" t="n">
        <v>3.91082172</v>
      </c>
      <c r="R57" s="20" t="n">
        <v>0.9306253</v>
      </c>
    </row>
    <row r="58" spans="1:18">
      <c r="A58" s="15" t="s">
        <v>400</v>
      </c>
      <c r="B58" s="17" t="n">
        <v>3530</v>
      </c>
      <c r="C58" s="18">
        <f>(2946.0/B58*100)</f>
        <v/>
      </c>
      <c r="D58" s="19" t="n">
        <v>584</v>
      </c>
      <c r="E58" s="18" t="n">
        <v>59.83334086</v>
      </c>
      <c r="F58" s="20" t="n">
        <v>2.26129901</v>
      </c>
      <c r="G58" s="18" t="n">
        <v>30.91890143</v>
      </c>
      <c r="H58" s="20" t="n">
        <v>1.99667836</v>
      </c>
      <c r="I58" s="18" t="s">
        <v>349</v>
      </c>
      <c r="J58" s="20" t="s">
        <v>349</v>
      </c>
      <c r="K58" s="18" t="n">
        <v>1.1731608</v>
      </c>
      <c r="L58" s="20" t="n">
        <v>0.5084525600000001</v>
      </c>
      <c r="M58" s="18" t="n">
        <v>0</v>
      </c>
      <c r="N58" s="20" t="n">
        <v>0</v>
      </c>
      <c r="O58" s="18" t="n">
        <v>0.51136795</v>
      </c>
      <c r="P58" s="20" t="n">
        <v>0.28105373</v>
      </c>
      <c r="Q58" s="18" t="n">
        <v>7.56322896</v>
      </c>
      <c r="R58" s="20" t="n">
        <v>1.40426896</v>
      </c>
    </row>
    <row r="59" spans="1:18">
      <c r="A59" s="15" t="s">
        <v>401</v>
      </c>
      <c r="B59" s="17" t="n">
        <v>2548</v>
      </c>
      <c r="C59" s="18">
        <f>(2102.0/B59*100)</f>
        <v/>
      </c>
      <c r="D59" s="19" t="n">
        <v>446</v>
      </c>
      <c r="E59" s="18" t="n">
        <v>63.49628705</v>
      </c>
      <c r="F59" s="20" t="n">
        <v>2.99069524</v>
      </c>
      <c r="G59" s="18" t="n">
        <v>34.06612253</v>
      </c>
      <c r="H59" s="20" t="n">
        <v>2.95661789</v>
      </c>
      <c r="I59" s="18" t="s">
        <v>349</v>
      </c>
      <c r="J59" s="20" t="s">
        <v>349</v>
      </c>
      <c r="K59" s="18" t="n">
        <v>0.10925171</v>
      </c>
      <c r="L59" s="20" t="n">
        <v>0.10899222</v>
      </c>
      <c r="M59" s="18" t="n">
        <v>0</v>
      </c>
      <c r="N59" s="20" t="n">
        <v>0</v>
      </c>
      <c r="O59" s="18" t="n">
        <v>0</v>
      </c>
      <c r="P59" s="20" t="n">
        <v>0</v>
      </c>
      <c r="Q59" s="18" t="n">
        <v>2.32833871</v>
      </c>
      <c r="R59" s="20" t="n">
        <v>0.82440699</v>
      </c>
    </row>
    <row r="60" spans="1:18">
      <c r="A60" s="15" t="s">
        <v>402</v>
      </c>
      <c r="B60" s="17" t="n">
        <v>2095</v>
      </c>
      <c r="C60" s="18">
        <f>(1741.0/B60*100)</f>
        <v/>
      </c>
      <c r="D60" s="19" t="n">
        <v>354</v>
      </c>
      <c r="E60" s="18" t="n">
        <v>52.58952443</v>
      </c>
      <c r="F60" s="20" t="n">
        <v>2.92908098</v>
      </c>
      <c r="G60" s="18" t="n">
        <v>34.95647583</v>
      </c>
      <c r="H60" s="20" t="n">
        <v>2.70256825</v>
      </c>
      <c r="I60" s="18" t="s">
        <v>349</v>
      </c>
      <c r="J60" s="20" t="s">
        <v>349</v>
      </c>
      <c r="K60" s="18" t="n">
        <v>0.93237297</v>
      </c>
      <c r="L60" s="20" t="n">
        <v>0.5298062100000001</v>
      </c>
      <c r="M60" s="18" t="n">
        <v>0</v>
      </c>
      <c r="N60" s="20" t="n">
        <v>0</v>
      </c>
      <c r="O60" s="18" t="n">
        <v>0.56995859</v>
      </c>
      <c r="P60" s="20" t="n">
        <v>0.58480965</v>
      </c>
      <c r="Q60" s="18" t="n">
        <v>10.95166817</v>
      </c>
      <c r="R60" s="20" t="n">
        <v>1.91281225</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55.72464568</v>
      </c>
      <c r="F63" s="20" t="n">
        <v>2.72308453</v>
      </c>
      <c r="G63" s="18" t="n">
        <v>37.95177101</v>
      </c>
      <c r="H63" s="20" t="n">
        <v>2.54346116</v>
      </c>
      <c r="I63" s="18" t="s">
        <v>349</v>
      </c>
      <c r="J63" s="20" t="s">
        <v>349</v>
      </c>
      <c r="K63" s="18" t="n">
        <v>0.92820842</v>
      </c>
      <c r="L63" s="20" t="n">
        <v>0.41300956</v>
      </c>
      <c r="M63" s="18" t="n">
        <v>0</v>
      </c>
      <c r="N63" s="20" t="n">
        <v>0</v>
      </c>
      <c r="O63" s="18" t="n">
        <v>0</v>
      </c>
      <c r="P63" s="20" t="n">
        <v>0</v>
      </c>
      <c r="Q63" s="18" t="n">
        <v>5.39537489</v>
      </c>
      <c r="R63" s="20" t="n">
        <v>1.12638493</v>
      </c>
    </row>
    <row r="64" spans="1:18">
      <c r="A64" s="15" t="s">
        <v>406</v>
      </c>
      <c r="B64" s="17" t="n">
        <v>1844</v>
      </c>
      <c r="C64" s="18">
        <f>(1531.0/B64*100)</f>
        <v/>
      </c>
      <c r="D64" s="19" t="n">
        <v>313</v>
      </c>
      <c r="E64" s="18" t="n">
        <v>45.01038441</v>
      </c>
      <c r="F64" s="20" t="n">
        <v>3.17809865</v>
      </c>
      <c r="G64" s="18" t="n">
        <v>48.35411584</v>
      </c>
      <c r="H64" s="20" t="n">
        <v>3.3355485</v>
      </c>
      <c r="I64" s="18" t="s">
        <v>349</v>
      </c>
      <c r="J64" s="20" t="s">
        <v>349</v>
      </c>
      <c r="K64" s="18" t="n">
        <v>2.5054122</v>
      </c>
      <c r="L64" s="20" t="n">
        <v>0.914508</v>
      </c>
      <c r="M64" s="18" t="n">
        <v>0</v>
      </c>
      <c r="N64" s="20" t="n">
        <v>0</v>
      </c>
      <c r="O64" s="18" t="n">
        <v>0</v>
      </c>
      <c r="P64" s="20" t="n">
        <v>0</v>
      </c>
      <c r="Q64" s="18" t="n">
        <v>4.13008755</v>
      </c>
      <c r="R64" s="20" t="n">
        <v>1.25197638</v>
      </c>
    </row>
    <row r="65" spans="1:18">
      <c r="A65" s="15" t="s">
        <v>407</v>
      </c>
      <c r="B65" s="17" t="n">
        <v>2691</v>
      </c>
      <c r="C65" s="18">
        <f>(2249.0/B65*100)</f>
        <v/>
      </c>
      <c r="D65" s="19" t="n">
        <v>442</v>
      </c>
      <c r="E65" s="18" t="n">
        <v>45.37513033</v>
      </c>
      <c r="F65" s="20" t="n">
        <v>2.49996405</v>
      </c>
      <c r="G65" s="18" t="n">
        <v>46.28034066</v>
      </c>
      <c r="H65" s="20" t="n">
        <v>2.53176305</v>
      </c>
      <c r="I65" s="18" t="s">
        <v>349</v>
      </c>
      <c r="J65" s="20" t="s">
        <v>349</v>
      </c>
      <c r="K65" s="18" t="n">
        <v>2.40486223</v>
      </c>
      <c r="L65" s="20" t="n">
        <v>0.74482509</v>
      </c>
      <c r="M65" s="18" t="n">
        <v>1.60476156</v>
      </c>
      <c r="N65" s="20" t="n">
        <v>0.72687245</v>
      </c>
      <c r="O65" s="18" t="n">
        <v>0</v>
      </c>
      <c r="P65" s="20" t="n">
        <v>0</v>
      </c>
      <c r="Q65" s="18" t="n">
        <v>4.33490522</v>
      </c>
      <c r="R65" s="20" t="n">
        <v>0.84047301</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47.78409019</v>
      </c>
      <c r="F69" s="20" t="n">
        <v>2.52164223</v>
      </c>
      <c r="G69" s="18" t="n">
        <v>51.74411851</v>
      </c>
      <c r="H69" s="20" t="n">
        <v>2.52466892</v>
      </c>
      <c r="I69" s="18" t="s">
        <v>349</v>
      </c>
      <c r="J69" s="20" t="s">
        <v>349</v>
      </c>
      <c r="K69" s="18" t="n">
        <v>0</v>
      </c>
      <c r="L69" s="20" t="n">
        <v>0</v>
      </c>
      <c r="M69" s="18" t="n">
        <v>0</v>
      </c>
      <c r="N69" s="20" t="n">
        <v>0</v>
      </c>
      <c r="O69" s="18" t="n">
        <v>0</v>
      </c>
      <c r="P69" s="20" t="n">
        <v>0</v>
      </c>
      <c r="Q69" s="18" t="n">
        <v>0.47179131</v>
      </c>
      <c r="R69" s="20" t="n">
        <v>0.32811837</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51.11863997</v>
      </c>
      <c r="F74" s="20" t="n">
        <v>2.84493096</v>
      </c>
      <c r="G74" s="18" t="n">
        <v>35.47861333</v>
      </c>
      <c r="H74" s="20" t="n">
        <v>2.65154541</v>
      </c>
      <c r="I74" s="18" t="s">
        <v>349</v>
      </c>
      <c r="J74" s="20" t="s">
        <v>349</v>
      </c>
      <c r="K74" s="18" t="n">
        <v>4.06858299</v>
      </c>
      <c r="L74" s="20" t="n">
        <v>1.13339213</v>
      </c>
      <c r="M74" s="18" t="n">
        <v>0</v>
      </c>
      <c r="N74" s="20" t="n">
        <v>0</v>
      </c>
      <c r="O74" s="18" t="n">
        <v>0</v>
      </c>
      <c r="P74" s="20" t="n">
        <v>0</v>
      </c>
      <c r="Q74" s="18" t="n">
        <v>9.33416371</v>
      </c>
      <c r="R74" s="20" t="n">
        <v>1.69749285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27.42834671</v>
      </c>
      <c r="F78" s="20" t="n">
        <v>2.25304319</v>
      </c>
      <c r="G78" s="18" t="n">
        <v>72.57165329</v>
      </c>
      <c r="H78" s="20" t="n">
        <v>2.25304319</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(653.0/B79*100)</f>
        <v/>
      </c>
      <c r="D79" s="19" t="n">
        <v>134</v>
      </c>
      <c r="E79" s="18" t="n">
        <v>38.68661003</v>
      </c>
      <c r="F79" s="20" t="n">
        <v>4.76981569</v>
      </c>
      <c r="G79" s="18" t="n">
        <v>53.66431006</v>
      </c>
      <c r="H79" s="20" t="n">
        <v>5.20471543</v>
      </c>
      <c r="I79" s="18" t="s">
        <v>349</v>
      </c>
      <c r="J79" s="20" t="s">
        <v>349</v>
      </c>
      <c r="K79" s="18" t="n">
        <v>2.81651175</v>
      </c>
      <c r="L79" s="20" t="n">
        <v>1.52144435</v>
      </c>
      <c r="M79" s="18" t="n">
        <v>0</v>
      </c>
      <c r="N79" s="20" t="n">
        <v>0</v>
      </c>
      <c r="O79" s="18" t="n">
        <v>0</v>
      </c>
      <c r="P79" s="20" t="n">
        <v>0</v>
      </c>
      <c r="Q79" s="18" t="n">
        <v>4.83256817</v>
      </c>
      <c r="R79" s="20" t="n">
        <v>1.5203641</v>
      </c>
    </row>
    <row r="80" spans="1:18">
      <c r="A80" s="15" t="s">
        <v>422</v>
      </c>
      <c r="B80" s="17" t="n">
        <v>3798</v>
      </c>
      <c r="C80" s="18">
        <f>(3153.0/B80*100)</f>
        <v/>
      </c>
      <c r="D80" s="19" t="n">
        <v>645</v>
      </c>
      <c r="E80" s="18" t="n">
        <v>49.15268979</v>
      </c>
      <c r="F80" s="20" t="n">
        <v>2.66488469</v>
      </c>
      <c r="G80" s="18" t="n">
        <v>50.84731021</v>
      </c>
      <c r="H80" s="20" t="n">
        <v>2.66488469</v>
      </c>
      <c r="I80" s="18" t="s">
        <v>349</v>
      </c>
      <c r="J80" s="20" t="s">
        <v>349</v>
      </c>
      <c r="K80" s="18" t="n">
        <v>0</v>
      </c>
      <c r="L80" s="20" t="n">
        <v>0</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58.12984344</v>
      </c>
      <c r="F44" s="20" t="n">
        <v>2.7752036</v>
      </c>
      <c r="G44" s="18" t="n">
        <v>13.00365006</v>
      </c>
      <c r="H44" s="20" t="n">
        <v>1.74104722</v>
      </c>
      <c r="I44" s="18" t="s">
        <v>349</v>
      </c>
      <c r="J44" s="20" t="s">
        <v>349</v>
      </c>
      <c r="K44" s="18" t="n">
        <v>1.92279018</v>
      </c>
      <c r="L44" s="20" t="n">
        <v>0.75481785</v>
      </c>
      <c r="M44" s="18" t="n">
        <v>0</v>
      </c>
      <c r="N44" s="20" t="n">
        <v>0</v>
      </c>
      <c r="O44" s="18" t="n">
        <v>0</v>
      </c>
      <c r="P44" s="20" t="n">
        <v>0</v>
      </c>
      <c r="Q44" s="18" t="n">
        <v>26.94371632</v>
      </c>
      <c r="R44" s="20" t="n">
        <v>2.55670803</v>
      </c>
    </row>
    <row r="45" spans="1:18">
      <c r="A45" s="15" t="s">
        <v>387</v>
      </c>
      <c r="B45" s="17" t="n">
        <v>2849</v>
      </c>
      <c r="C45" s="18">
        <f>(2366.0/B45*100)</f>
        <v/>
      </c>
      <c r="D45" s="19" t="n">
        <v>483</v>
      </c>
      <c r="E45" s="18" t="n">
        <v>62.00656282</v>
      </c>
      <c r="F45" s="20" t="n">
        <v>2.19458626</v>
      </c>
      <c r="G45" s="18" t="n">
        <v>4.26942199</v>
      </c>
      <c r="H45" s="20" t="n">
        <v>1.09276767</v>
      </c>
      <c r="I45" s="18" t="s">
        <v>349</v>
      </c>
      <c r="J45" s="20" t="s">
        <v>349</v>
      </c>
      <c r="K45" s="18" t="n">
        <v>2.92258193</v>
      </c>
      <c r="L45" s="20" t="n">
        <v>0.82835182</v>
      </c>
      <c r="M45" s="18" t="n">
        <v>0.40201685</v>
      </c>
      <c r="N45" s="20" t="n">
        <v>0.30518672</v>
      </c>
      <c r="O45" s="18" t="n">
        <v>0</v>
      </c>
      <c r="P45" s="20" t="n">
        <v>0</v>
      </c>
      <c r="Q45" s="18" t="n">
        <v>30.3994164</v>
      </c>
      <c r="R45" s="20" t="n">
        <v>2.2618259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65.56746135</v>
      </c>
      <c r="F49" s="20" t="n">
        <v>2.29337697</v>
      </c>
      <c r="G49" s="18" t="n">
        <v>13.57998248</v>
      </c>
      <c r="H49" s="20" t="n">
        <v>2.00152476</v>
      </c>
      <c r="I49" s="18" t="s">
        <v>349</v>
      </c>
      <c r="J49" s="20" t="s">
        <v>349</v>
      </c>
      <c r="K49" s="18" t="n">
        <v>1.05014139</v>
      </c>
      <c r="L49" s="20" t="n">
        <v>0.42688847</v>
      </c>
      <c r="M49" s="18" t="n">
        <v>0</v>
      </c>
      <c r="N49" s="20" t="n">
        <v>0</v>
      </c>
      <c r="O49" s="18" t="n">
        <v>0</v>
      </c>
      <c r="P49" s="20" t="n">
        <v>0</v>
      </c>
      <c r="Q49" s="18" t="n">
        <v>19.80241478</v>
      </c>
      <c r="R49" s="20" t="n">
        <v>1.76221506</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60.04215771</v>
      </c>
      <c r="F55" s="20" t="n">
        <v>2.52315766</v>
      </c>
      <c r="G55" s="18" t="n">
        <v>6.7242618</v>
      </c>
      <c r="H55" s="20" t="n">
        <v>1.14631419</v>
      </c>
      <c r="I55" s="18" t="s">
        <v>349</v>
      </c>
      <c r="J55" s="20" t="s">
        <v>349</v>
      </c>
      <c r="K55" s="18" t="n">
        <v>2.20970213</v>
      </c>
      <c r="L55" s="20" t="n">
        <v>0.69869774</v>
      </c>
      <c r="M55" s="18" t="n">
        <v>0</v>
      </c>
      <c r="N55" s="20" t="n">
        <v>0</v>
      </c>
      <c r="O55" s="18" t="n">
        <v>0.22833485</v>
      </c>
      <c r="P55" s="20" t="n">
        <v>0.20619874</v>
      </c>
      <c r="Q55" s="18" t="n">
        <v>30.79554352</v>
      </c>
      <c r="R55" s="20" t="n">
        <v>2.25357822</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85.85455454</v>
      </c>
      <c r="F57" s="20" t="n">
        <v>1.70260113</v>
      </c>
      <c r="G57" s="18" t="n">
        <v>4.95753011</v>
      </c>
      <c r="H57" s="20" t="n">
        <v>0.81873423</v>
      </c>
      <c r="I57" s="18" t="s">
        <v>349</v>
      </c>
      <c r="J57" s="20" t="s">
        <v>349</v>
      </c>
      <c r="K57" s="18" t="n">
        <v>0.5041354</v>
      </c>
      <c r="L57" s="20" t="n">
        <v>0.29241447</v>
      </c>
      <c r="M57" s="18" t="n">
        <v>0</v>
      </c>
      <c r="N57" s="20" t="n">
        <v>0</v>
      </c>
      <c r="O57" s="18" t="n">
        <v>0</v>
      </c>
      <c r="P57" s="20" t="n">
        <v>0</v>
      </c>
      <c r="Q57" s="18" t="n">
        <v>8.683779940000001</v>
      </c>
      <c r="R57" s="20" t="n">
        <v>1.53306862</v>
      </c>
    </row>
    <row r="58" spans="1:18">
      <c r="A58" s="15" t="s">
        <v>400</v>
      </c>
      <c r="B58" s="17" t="n">
        <v>3530</v>
      </c>
      <c r="C58" s="18">
        <f>(2946.0/B58*100)</f>
        <v/>
      </c>
      <c r="D58" s="19" t="n">
        <v>584</v>
      </c>
      <c r="E58" s="18" t="n">
        <v>68.39906409</v>
      </c>
      <c r="F58" s="20" t="n">
        <v>2.03742296</v>
      </c>
      <c r="G58" s="18" t="n">
        <v>5.95701709</v>
      </c>
      <c r="H58" s="20" t="n">
        <v>1.03664928</v>
      </c>
      <c r="I58" s="18" t="s">
        <v>349</v>
      </c>
      <c r="J58" s="20" t="s">
        <v>349</v>
      </c>
      <c r="K58" s="18" t="n">
        <v>1.1731608</v>
      </c>
      <c r="L58" s="20" t="n">
        <v>0.5084525600000001</v>
      </c>
      <c r="M58" s="18" t="n">
        <v>0</v>
      </c>
      <c r="N58" s="20" t="n">
        <v>0</v>
      </c>
      <c r="O58" s="18" t="n">
        <v>0</v>
      </c>
      <c r="P58" s="20" t="n">
        <v>0</v>
      </c>
      <c r="Q58" s="18" t="n">
        <v>24.47075802</v>
      </c>
      <c r="R58" s="20" t="n">
        <v>1.79998419</v>
      </c>
    </row>
    <row r="59" spans="1:18">
      <c r="A59" s="15" t="s">
        <v>401</v>
      </c>
      <c r="B59" s="17" t="n">
        <v>2548</v>
      </c>
      <c r="C59" s="18">
        <f>(2102.0/B59*100)</f>
        <v/>
      </c>
      <c r="D59" s="19" t="n">
        <v>446</v>
      </c>
      <c r="E59" s="18" t="n">
        <v>70.61497269</v>
      </c>
      <c r="F59" s="20" t="n">
        <v>2.65656238</v>
      </c>
      <c r="G59" s="18" t="n">
        <v>8.887605779999999</v>
      </c>
      <c r="H59" s="20" t="n">
        <v>2.10065778</v>
      </c>
      <c r="I59" s="18" t="s">
        <v>349</v>
      </c>
      <c r="J59" s="20" t="s">
        <v>349</v>
      </c>
      <c r="K59" s="18" t="n">
        <v>0.10925171</v>
      </c>
      <c r="L59" s="20" t="n">
        <v>0.10899222</v>
      </c>
      <c r="M59" s="18" t="n">
        <v>0</v>
      </c>
      <c r="N59" s="20" t="n">
        <v>0</v>
      </c>
      <c r="O59" s="18" t="n">
        <v>0</v>
      </c>
      <c r="P59" s="20" t="n">
        <v>0</v>
      </c>
      <c r="Q59" s="18" t="n">
        <v>20.38816982</v>
      </c>
      <c r="R59" s="20" t="n">
        <v>2.40878473</v>
      </c>
    </row>
    <row r="60" spans="1:18">
      <c r="A60" s="15" t="s">
        <v>402</v>
      </c>
      <c r="B60" s="17" t="n">
        <v>2095</v>
      </c>
      <c r="C60" s="18">
        <f>(1741.0/B60*100)</f>
        <v/>
      </c>
      <c r="D60" s="19" t="n">
        <v>354</v>
      </c>
      <c r="E60" s="18" t="n">
        <v>41.24558551</v>
      </c>
      <c r="F60" s="20" t="n">
        <v>2.86228235</v>
      </c>
      <c r="G60" s="18" t="n">
        <v>16.51486893</v>
      </c>
      <c r="H60" s="20" t="n">
        <v>2.39936237</v>
      </c>
      <c r="I60" s="18" t="s">
        <v>349</v>
      </c>
      <c r="J60" s="20" t="s">
        <v>349</v>
      </c>
      <c r="K60" s="18" t="n">
        <v>1.17789361</v>
      </c>
      <c r="L60" s="20" t="n">
        <v>0.58087815</v>
      </c>
      <c r="M60" s="18" t="n">
        <v>0</v>
      </c>
      <c r="N60" s="20" t="n">
        <v>0</v>
      </c>
      <c r="O60" s="18" t="n">
        <v>0</v>
      </c>
      <c r="P60" s="20" t="n">
        <v>0</v>
      </c>
      <c r="Q60" s="18" t="n">
        <v>41.06165195</v>
      </c>
      <c r="R60" s="20" t="n">
        <v>2.95719061</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41.74291783</v>
      </c>
      <c r="F63" s="20" t="n">
        <v>2.43743671</v>
      </c>
      <c r="G63" s="18" t="n">
        <v>13.57405079</v>
      </c>
      <c r="H63" s="20" t="n">
        <v>1.73026415</v>
      </c>
      <c r="I63" s="18" t="s">
        <v>349</v>
      </c>
      <c r="J63" s="20" t="s">
        <v>349</v>
      </c>
      <c r="K63" s="18" t="n">
        <v>2.37129355</v>
      </c>
      <c r="L63" s="20" t="n">
        <v>0.75524208</v>
      </c>
      <c r="M63" s="18" t="n">
        <v>0</v>
      </c>
      <c r="N63" s="20" t="n">
        <v>0</v>
      </c>
      <c r="O63" s="18" t="n">
        <v>0</v>
      </c>
      <c r="P63" s="20" t="n">
        <v>0</v>
      </c>
      <c r="Q63" s="18" t="n">
        <v>42.31173783</v>
      </c>
      <c r="R63" s="20" t="n">
        <v>2.52012541</v>
      </c>
    </row>
    <row r="64" spans="1:18">
      <c r="A64" s="15" t="s">
        <v>406</v>
      </c>
      <c r="B64" s="17" t="n">
        <v>1844</v>
      </c>
      <c r="C64" s="18">
        <f>(1531.0/B64*100)</f>
        <v/>
      </c>
      <c r="D64" s="19" t="n">
        <v>313</v>
      </c>
      <c r="E64" s="18" t="n">
        <v>47.56113037</v>
      </c>
      <c r="F64" s="20" t="n">
        <v>2.65951399</v>
      </c>
      <c r="G64" s="18" t="n">
        <v>24.0624391</v>
      </c>
      <c r="H64" s="20" t="n">
        <v>2.8152178</v>
      </c>
      <c r="I64" s="18" t="s">
        <v>349</v>
      </c>
      <c r="J64" s="20" t="s">
        <v>349</v>
      </c>
      <c r="K64" s="18" t="n">
        <v>3.20233941</v>
      </c>
      <c r="L64" s="20" t="n">
        <v>1.03030755</v>
      </c>
      <c r="M64" s="18" t="n">
        <v>0</v>
      </c>
      <c r="N64" s="20" t="n">
        <v>0</v>
      </c>
      <c r="O64" s="18" t="n">
        <v>0</v>
      </c>
      <c r="P64" s="20" t="n">
        <v>0</v>
      </c>
      <c r="Q64" s="18" t="n">
        <v>25.17409111</v>
      </c>
      <c r="R64" s="20" t="n">
        <v>2.52907333</v>
      </c>
    </row>
    <row r="65" spans="1:18">
      <c r="A65" s="15" t="s">
        <v>407</v>
      </c>
      <c r="B65" s="17" t="n">
        <v>2691</v>
      </c>
      <c r="C65" s="18">
        <f>(2249.0/B65*100)</f>
        <v/>
      </c>
      <c r="D65" s="19" t="n">
        <v>442</v>
      </c>
      <c r="E65" s="18" t="n">
        <v>51.38314845</v>
      </c>
      <c r="F65" s="20" t="n">
        <v>2.52719144</v>
      </c>
      <c r="G65" s="18" t="n">
        <v>19.80024819</v>
      </c>
      <c r="H65" s="20" t="n">
        <v>1.82162772</v>
      </c>
      <c r="I65" s="18" t="s">
        <v>349</v>
      </c>
      <c r="J65" s="20" t="s">
        <v>349</v>
      </c>
      <c r="K65" s="18" t="n">
        <v>3.60535978</v>
      </c>
      <c r="L65" s="20" t="n">
        <v>0.86844177</v>
      </c>
      <c r="M65" s="18" t="n">
        <v>0</v>
      </c>
      <c r="N65" s="20" t="n">
        <v>0</v>
      </c>
      <c r="O65" s="18" t="n">
        <v>0</v>
      </c>
      <c r="P65" s="20" t="n">
        <v>0</v>
      </c>
      <c r="Q65" s="18" t="n">
        <v>25.21124358</v>
      </c>
      <c r="R65" s="20" t="n">
        <v>2.19876778</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73.6888173</v>
      </c>
      <c r="F69" s="20" t="n">
        <v>2.3796156</v>
      </c>
      <c r="G69" s="18" t="n">
        <v>25.63188657</v>
      </c>
      <c r="H69" s="20" t="n">
        <v>2.32997519</v>
      </c>
      <c r="I69" s="18" t="s">
        <v>349</v>
      </c>
      <c r="J69" s="20" t="s">
        <v>349</v>
      </c>
      <c r="K69" s="18" t="n">
        <v>0</v>
      </c>
      <c r="L69" s="20" t="n">
        <v>0</v>
      </c>
      <c r="M69" s="18" t="n">
        <v>0</v>
      </c>
      <c r="N69" s="20" t="n">
        <v>0</v>
      </c>
      <c r="O69" s="18" t="n">
        <v>0</v>
      </c>
      <c r="P69" s="20" t="n">
        <v>0</v>
      </c>
      <c r="Q69" s="18" t="n">
        <v>0.67929613</v>
      </c>
      <c r="R69" s="20" t="n">
        <v>0.50582538</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51.4345076</v>
      </c>
      <c r="F74" s="20" t="n">
        <v>2.90266444</v>
      </c>
      <c r="G74" s="18" t="n">
        <v>15.42086887</v>
      </c>
      <c r="H74" s="20" t="n">
        <v>2.12042108</v>
      </c>
      <c r="I74" s="18" t="s">
        <v>349</v>
      </c>
      <c r="J74" s="20" t="s">
        <v>349</v>
      </c>
      <c r="K74" s="18" t="n">
        <v>4.63754191</v>
      </c>
      <c r="L74" s="20" t="n">
        <v>1.26491344</v>
      </c>
      <c r="M74" s="18" t="n">
        <v>0</v>
      </c>
      <c r="N74" s="20" t="n">
        <v>0</v>
      </c>
      <c r="O74" s="18" t="n">
        <v>0</v>
      </c>
      <c r="P74" s="20" t="n">
        <v>0</v>
      </c>
      <c r="Q74" s="18" t="n">
        <v>28.50708162</v>
      </c>
      <c r="R74" s="20" t="n">
        <v>2.24294951</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79.30679352999999</v>
      </c>
      <c r="F78" s="20" t="n">
        <v>2.34080638</v>
      </c>
      <c r="G78" s="18" t="n">
        <v>18.69697239</v>
      </c>
      <c r="H78" s="20" t="n">
        <v>2.28852844</v>
      </c>
      <c r="I78" s="18" t="s">
        <v>349</v>
      </c>
      <c r="J78" s="20" t="s">
        <v>349</v>
      </c>
      <c r="K78" s="18" t="n">
        <v>0</v>
      </c>
      <c r="L78" s="20" t="n">
        <v>0</v>
      </c>
      <c r="M78" s="18" t="n">
        <v>0</v>
      </c>
      <c r="N78" s="20" t="n">
        <v>0</v>
      </c>
      <c r="O78" s="18" t="n">
        <v>0</v>
      </c>
      <c r="P78" s="20" t="n">
        <v>0</v>
      </c>
      <c r="Q78" s="18" t="n">
        <v>1.99623408</v>
      </c>
      <c r="R78" s="20" t="n">
        <v>0.76057358</v>
      </c>
    </row>
    <row customHeight="1" ht="25" r="79" spans="1:18">
      <c r="A79" s="15" t="s">
        <v>421</v>
      </c>
      <c r="B79" s="17" t="n">
        <v>787</v>
      </c>
      <c r="C79" s="18">
        <f>(653.0/B79*100)</f>
        <v/>
      </c>
      <c r="D79" s="19" t="n">
        <v>134</v>
      </c>
      <c r="E79" s="18" t="n">
        <v>50.96206075</v>
      </c>
      <c r="F79" s="20" t="n">
        <v>4.53588689</v>
      </c>
      <c r="G79" s="18" t="n">
        <v>34.66261057</v>
      </c>
      <c r="H79" s="20" t="n">
        <v>4.78058581</v>
      </c>
      <c r="I79" s="18" t="s">
        <v>349</v>
      </c>
      <c r="J79" s="20" t="s">
        <v>349</v>
      </c>
      <c r="K79" s="18" t="n">
        <v>2.81651175</v>
      </c>
      <c r="L79" s="20" t="n">
        <v>1.52144435</v>
      </c>
      <c r="M79" s="18" t="n">
        <v>0</v>
      </c>
      <c r="N79" s="20" t="n">
        <v>0</v>
      </c>
      <c r="O79" s="18" t="n">
        <v>0</v>
      </c>
      <c r="P79" s="20" t="n">
        <v>0</v>
      </c>
      <c r="Q79" s="18" t="n">
        <v>11.55881693</v>
      </c>
      <c r="R79" s="20" t="n">
        <v>2.8304664</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39.24165066</v>
      </c>
      <c r="F44" s="20" t="n">
        <v>2.8118377</v>
      </c>
      <c r="G44" s="18" t="n">
        <v>54.38146209</v>
      </c>
      <c r="H44" s="20" t="n">
        <v>2.88769202</v>
      </c>
      <c r="I44" s="18" t="s">
        <v>349</v>
      </c>
      <c r="J44" s="20" t="s">
        <v>349</v>
      </c>
      <c r="K44" s="18" t="n">
        <v>1.92279018</v>
      </c>
      <c r="L44" s="20" t="n">
        <v>0.75481785</v>
      </c>
      <c r="M44" s="18" t="n">
        <v>0</v>
      </c>
      <c r="N44" s="20" t="n">
        <v>0</v>
      </c>
      <c r="O44" s="18" t="n">
        <v>0</v>
      </c>
      <c r="P44" s="20" t="n">
        <v>0</v>
      </c>
      <c r="Q44" s="18" t="n">
        <v>4.45409708</v>
      </c>
      <c r="R44" s="20" t="n">
        <v>0.94436149</v>
      </c>
    </row>
    <row r="45" spans="1:18">
      <c r="A45" s="15" t="s">
        <v>387</v>
      </c>
      <c r="B45" s="17" t="n">
        <v>2849</v>
      </c>
      <c r="C45" s="18">
        <f>(2366.0/B45*100)</f>
        <v/>
      </c>
      <c r="D45" s="19" t="n">
        <v>483</v>
      </c>
      <c r="E45" s="18" t="n">
        <v>49.62646811</v>
      </c>
      <c r="F45" s="20" t="n">
        <v>2.43513133</v>
      </c>
      <c r="G45" s="18" t="n">
        <v>39.32397999</v>
      </c>
      <c r="H45" s="20" t="n">
        <v>2.1670559</v>
      </c>
      <c r="I45" s="18" t="s">
        <v>349</v>
      </c>
      <c r="J45" s="20" t="s">
        <v>349</v>
      </c>
      <c r="K45" s="18" t="n">
        <v>2.92258193</v>
      </c>
      <c r="L45" s="20" t="n">
        <v>0.82835182</v>
      </c>
      <c r="M45" s="18" t="n">
        <v>0</v>
      </c>
      <c r="N45" s="20" t="n">
        <v>0</v>
      </c>
      <c r="O45" s="18" t="n">
        <v>0.20557378</v>
      </c>
      <c r="P45" s="20" t="n">
        <v>0.21917268</v>
      </c>
      <c r="Q45" s="18" t="n">
        <v>7.92139618</v>
      </c>
      <c r="R45" s="20" t="n">
        <v>1.148786</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48.05406634</v>
      </c>
      <c r="F49" s="20" t="n">
        <v>2.36164642</v>
      </c>
      <c r="G49" s="18" t="n">
        <v>47.71921178</v>
      </c>
      <c r="H49" s="20" t="n">
        <v>2.38647717</v>
      </c>
      <c r="I49" s="18" t="s">
        <v>349</v>
      </c>
      <c r="J49" s="20" t="s">
        <v>349</v>
      </c>
      <c r="K49" s="18" t="n">
        <v>1.37896263</v>
      </c>
      <c r="L49" s="20" t="n">
        <v>0.50898078</v>
      </c>
      <c r="M49" s="18" t="n">
        <v>0</v>
      </c>
      <c r="N49" s="20" t="n">
        <v>0</v>
      </c>
      <c r="O49" s="18" t="n">
        <v>0</v>
      </c>
      <c r="P49" s="20" t="n">
        <v>0</v>
      </c>
      <c r="Q49" s="18" t="n">
        <v>2.84775925</v>
      </c>
      <c r="R49" s="20" t="n">
        <v>0.8363638</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47.25920546</v>
      </c>
      <c r="F55" s="20" t="n">
        <v>2.42975835</v>
      </c>
      <c r="G55" s="18" t="n">
        <v>47.25038593</v>
      </c>
      <c r="H55" s="20" t="n">
        <v>2.45837572</v>
      </c>
      <c r="I55" s="18" t="s">
        <v>349</v>
      </c>
      <c r="J55" s="20" t="s">
        <v>349</v>
      </c>
      <c r="K55" s="18" t="n">
        <v>2.20970213</v>
      </c>
      <c r="L55" s="20" t="n">
        <v>0.69869774</v>
      </c>
      <c r="M55" s="18" t="n">
        <v>0</v>
      </c>
      <c r="N55" s="20" t="n">
        <v>0</v>
      </c>
      <c r="O55" s="18" t="n">
        <v>0</v>
      </c>
      <c r="P55" s="20" t="n">
        <v>0</v>
      </c>
      <c r="Q55" s="18" t="n">
        <v>3.28070648</v>
      </c>
      <c r="R55" s="20" t="n">
        <v>0.81977234</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52.15432988</v>
      </c>
      <c r="F57" s="20" t="n">
        <v>2.90680544</v>
      </c>
      <c r="G57" s="18" t="n">
        <v>46.05533571</v>
      </c>
      <c r="H57" s="20" t="n">
        <v>2.82019936</v>
      </c>
      <c r="I57" s="18" t="s">
        <v>349</v>
      </c>
      <c r="J57" s="20" t="s">
        <v>349</v>
      </c>
      <c r="K57" s="18" t="n">
        <v>0.5041354</v>
      </c>
      <c r="L57" s="20" t="n">
        <v>0.29241447</v>
      </c>
      <c r="M57" s="18" t="n">
        <v>0</v>
      </c>
      <c r="N57" s="20" t="n">
        <v>0</v>
      </c>
      <c r="O57" s="18" t="n">
        <v>0</v>
      </c>
      <c r="P57" s="20" t="n">
        <v>0</v>
      </c>
      <c r="Q57" s="18" t="n">
        <v>1.28619901</v>
      </c>
      <c r="R57" s="20" t="n">
        <v>0.54697098</v>
      </c>
    </row>
    <row r="58" spans="1:18">
      <c r="A58" s="15" t="s">
        <v>400</v>
      </c>
      <c r="B58" s="17" t="n">
        <v>3530</v>
      </c>
      <c r="C58" s="18">
        <f>(2946.0/B58*100)</f>
        <v/>
      </c>
      <c r="D58" s="19" t="n">
        <v>584</v>
      </c>
      <c r="E58" s="18" t="n">
        <v>62.66054464</v>
      </c>
      <c r="F58" s="20" t="n">
        <v>2.45789202</v>
      </c>
      <c r="G58" s="18" t="n">
        <v>34.47028053</v>
      </c>
      <c r="H58" s="20" t="n">
        <v>2.50239792</v>
      </c>
      <c r="I58" s="18" t="s">
        <v>349</v>
      </c>
      <c r="J58" s="20" t="s">
        <v>349</v>
      </c>
      <c r="K58" s="18" t="n">
        <v>1.1731608</v>
      </c>
      <c r="L58" s="20" t="n">
        <v>0.5084525600000001</v>
      </c>
      <c r="M58" s="18" t="n">
        <v>0</v>
      </c>
      <c r="N58" s="20" t="n">
        <v>0</v>
      </c>
      <c r="O58" s="18" t="n">
        <v>0.23442264</v>
      </c>
      <c r="P58" s="20" t="n">
        <v>0.23471679</v>
      </c>
      <c r="Q58" s="18" t="n">
        <v>1.46159139</v>
      </c>
      <c r="R58" s="20" t="n">
        <v>0.53350557</v>
      </c>
    </row>
    <row r="59" spans="1:18">
      <c r="A59" s="15" t="s">
        <v>401</v>
      </c>
      <c r="B59" s="17" t="n">
        <v>2548</v>
      </c>
      <c r="C59" s="18">
        <f>(2102.0/B59*100)</f>
        <v/>
      </c>
      <c r="D59" s="19" t="n">
        <v>446</v>
      </c>
      <c r="E59" s="18" t="n">
        <v>67.29506888</v>
      </c>
      <c r="F59" s="20" t="n">
        <v>2.57797229</v>
      </c>
      <c r="G59" s="18" t="n">
        <v>30.09160424</v>
      </c>
      <c r="H59" s="20" t="n">
        <v>2.69469056</v>
      </c>
      <c r="I59" s="18" t="s">
        <v>349</v>
      </c>
      <c r="J59" s="20" t="s">
        <v>349</v>
      </c>
      <c r="K59" s="18" t="n">
        <v>0.10925171</v>
      </c>
      <c r="L59" s="20" t="n">
        <v>0.10899222</v>
      </c>
      <c r="M59" s="18" t="n">
        <v>0</v>
      </c>
      <c r="N59" s="20" t="n">
        <v>0</v>
      </c>
      <c r="O59" s="18" t="n">
        <v>0</v>
      </c>
      <c r="P59" s="20" t="n">
        <v>0</v>
      </c>
      <c r="Q59" s="18" t="n">
        <v>2.50407517</v>
      </c>
      <c r="R59" s="20" t="n">
        <v>0.86970991</v>
      </c>
    </row>
    <row r="60" spans="1:18">
      <c r="A60" s="15" t="s">
        <v>402</v>
      </c>
      <c r="B60" s="17" t="n">
        <v>2095</v>
      </c>
      <c r="C60" s="18">
        <f>(1741.0/B60*100)</f>
        <v/>
      </c>
      <c r="D60" s="19" t="n">
        <v>354</v>
      </c>
      <c r="E60" s="18" t="n">
        <v>37.70197066</v>
      </c>
      <c r="F60" s="20" t="n">
        <v>2.37523286</v>
      </c>
      <c r="G60" s="18" t="n">
        <v>58.56515957</v>
      </c>
      <c r="H60" s="20" t="n">
        <v>2.66191107</v>
      </c>
      <c r="I60" s="18" t="s">
        <v>349</v>
      </c>
      <c r="J60" s="20" t="s">
        <v>349</v>
      </c>
      <c r="K60" s="18" t="n">
        <v>1.44501076</v>
      </c>
      <c r="L60" s="20" t="n">
        <v>0.63086599</v>
      </c>
      <c r="M60" s="18" t="n">
        <v>0</v>
      </c>
      <c r="N60" s="20" t="n">
        <v>0</v>
      </c>
      <c r="O60" s="18" t="n">
        <v>0</v>
      </c>
      <c r="P60" s="20" t="n">
        <v>0</v>
      </c>
      <c r="Q60" s="18" t="n">
        <v>2.28785901</v>
      </c>
      <c r="R60" s="20" t="n">
        <v>0.99192399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59.89128092</v>
      </c>
      <c r="F63" s="20" t="n">
        <v>2.54898994</v>
      </c>
      <c r="G63" s="18" t="n">
        <v>33.74849067</v>
      </c>
      <c r="H63" s="20" t="n">
        <v>2.48329431</v>
      </c>
      <c r="I63" s="18" t="s">
        <v>349</v>
      </c>
      <c r="J63" s="20" t="s">
        <v>349</v>
      </c>
      <c r="K63" s="18" t="n">
        <v>2.37129355</v>
      </c>
      <c r="L63" s="20" t="n">
        <v>0.75524208</v>
      </c>
      <c r="M63" s="18" t="n">
        <v>0</v>
      </c>
      <c r="N63" s="20" t="n">
        <v>0</v>
      </c>
      <c r="O63" s="18" t="n">
        <v>0</v>
      </c>
      <c r="P63" s="20" t="n">
        <v>0</v>
      </c>
      <c r="Q63" s="18" t="n">
        <v>3.98893485</v>
      </c>
      <c r="R63" s="20" t="n">
        <v>1.14209081</v>
      </c>
    </row>
    <row r="64" spans="1:18">
      <c r="A64" s="15" t="s">
        <v>406</v>
      </c>
      <c r="B64" s="17" t="n">
        <v>1844</v>
      </c>
      <c r="C64" s="18">
        <f>(1531.0/B64*100)</f>
        <v/>
      </c>
      <c r="D64" s="19" t="n">
        <v>313</v>
      </c>
      <c r="E64" s="18" t="n">
        <v>28.46928989</v>
      </c>
      <c r="F64" s="20" t="n">
        <v>2.66824349</v>
      </c>
      <c r="G64" s="18" t="n">
        <v>66.04280411000001</v>
      </c>
      <c r="H64" s="20" t="n">
        <v>2.77177278</v>
      </c>
      <c r="I64" s="18" t="s">
        <v>349</v>
      </c>
      <c r="J64" s="20" t="s">
        <v>349</v>
      </c>
      <c r="K64" s="18" t="n">
        <v>3.55149773</v>
      </c>
      <c r="L64" s="20" t="n">
        <v>1.07746165</v>
      </c>
      <c r="M64" s="18" t="n">
        <v>0</v>
      </c>
      <c r="N64" s="20" t="n">
        <v>0</v>
      </c>
      <c r="O64" s="18" t="n">
        <v>0</v>
      </c>
      <c r="P64" s="20" t="n">
        <v>0</v>
      </c>
      <c r="Q64" s="18" t="n">
        <v>1.93640827</v>
      </c>
      <c r="R64" s="20" t="n">
        <v>0.75315707</v>
      </c>
    </row>
    <row r="65" spans="1:18">
      <c r="A65" s="15" t="s">
        <v>407</v>
      </c>
      <c r="B65" s="17" t="n">
        <v>2691</v>
      </c>
      <c r="C65" s="18">
        <f>(2249.0/B65*100)</f>
        <v/>
      </c>
      <c r="D65" s="19" t="n">
        <v>442</v>
      </c>
      <c r="E65" s="18" t="n">
        <v>37.62936603</v>
      </c>
      <c r="F65" s="20" t="n">
        <v>2.44489326</v>
      </c>
      <c r="G65" s="18" t="n">
        <v>54.1834128</v>
      </c>
      <c r="H65" s="20" t="n">
        <v>2.53445151</v>
      </c>
      <c r="I65" s="18" t="s">
        <v>349</v>
      </c>
      <c r="J65" s="20" t="s">
        <v>349</v>
      </c>
      <c r="K65" s="18" t="n">
        <v>3.83275841</v>
      </c>
      <c r="L65" s="20" t="n">
        <v>0.88679136</v>
      </c>
      <c r="M65" s="18" t="n">
        <v>0</v>
      </c>
      <c r="N65" s="20" t="n">
        <v>0</v>
      </c>
      <c r="O65" s="18" t="n">
        <v>0</v>
      </c>
      <c r="P65" s="20" t="n">
        <v>0</v>
      </c>
      <c r="Q65" s="18" t="n">
        <v>4.35446275</v>
      </c>
      <c r="R65" s="20" t="n">
        <v>1.06496138</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47.07605154</v>
      </c>
      <c r="F69" s="20" t="n">
        <v>2.44933152</v>
      </c>
      <c r="G69" s="18" t="n">
        <v>52.67411662</v>
      </c>
      <c r="H69" s="20" t="n">
        <v>2.42991156</v>
      </c>
      <c r="I69" s="18" t="s">
        <v>349</v>
      </c>
      <c r="J69" s="20" t="s">
        <v>349</v>
      </c>
      <c r="K69" s="18" t="n">
        <v>0</v>
      </c>
      <c r="L69" s="20" t="n">
        <v>0</v>
      </c>
      <c r="M69" s="18" t="n">
        <v>0</v>
      </c>
      <c r="N69" s="20" t="n">
        <v>0</v>
      </c>
      <c r="O69" s="18" t="n">
        <v>0</v>
      </c>
      <c r="P69" s="20" t="n">
        <v>0</v>
      </c>
      <c r="Q69" s="18" t="n">
        <v>0.24983184</v>
      </c>
      <c r="R69" s="20" t="n">
        <v>0.25021404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44.30635091</v>
      </c>
      <c r="F74" s="20" t="n">
        <v>2.69208649</v>
      </c>
      <c r="G74" s="18" t="n">
        <v>46.4659548</v>
      </c>
      <c r="H74" s="20" t="n">
        <v>3.10381089</v>
      </c>
      <c r="I74" s="18" t="s">
        <v>349</v>
      </c>
      <c r="J74" s="20" t="s">
        <v>349</v>
      </c>
      <c r="K74" s="18" t="n">
        <v>5.43081459</v>
      </c>
      <c r="L74" s="20" t="n">
        <v>1.50477418</v>
      </c>
      <c r="M74" s="18" t="n">
        <v>0</v>
      </c>
      <c r="N74" s="20" t="n">
        <v>0</v>
      </c>
      <c r="O74" s="18" t="n">
        <v>0</v>
      </c>
      <c r="P74" s="20" t="n">
        <v>0</v>
      </c>
      <c r="Q74" s="18" t="n">
        <v>3.7968797</v>
      </c>
      <c r="R74" s="20" t="n">
        <v>1.24232745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14.30869357</v>
      </c>
      <c r="F78" s="20" t="n">
        <v>2.33458986</v>
      </c>
      <c r="G78" s="18" t="n">
        <v>85.69130643</v>
      </c>
      <c r="H78" s="20" t="n">
        <v>2.33458986</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(653.0/B79*100)</f>
        <v/>
      </c>
      <c r="D79" s="19" t="n">
        <v>134</v>
      </c>
      <c r="E79" s="18" t="n">
        <v>29.55948213</v>
      </c>
      <c r="F79" s="20" t="n">
        <v>4.02060516</v>
      </c>
      <c r="G79" s="18" t="n">
        <v>63.51822749</v>
      </c>
      <c r="H79" s="20" t="n">
        <v>3.78308528</v>
      </c>
      <c r="I79" s="18" t="s">
        <v>349</v>
      </c>
      <c r="J79" s="20" t="s">
        <v>349</v>
      </c>
      <c r="K79" s="18" t="n">
        <v>3.51522697</v>
      </c>
      <c r="L79" s="20" t="n">
        <v>1.67190015</v>
      </c>
      <c r="M79" s="18" t="n">
        <v>0</v>
      </c>
      <c r="N79" s="20" t="n">
        <v>0</v>
      </c>
      <c r="O79" s="18" t="n">
        <v>0</v>
      </c>
      <c r="P79" s="20" t="n">
        <v>0</v>
      </c>
      <c r="Q79" s="18" t="n">
        <v>3.40706341</v>
      </c>
      <c r="R79" s="20" t="n">
        <v>1.73326226</v>
      </c>
    </row>
    <row r="80" spans="1:18">
      <c r="A80" s="15" t="s">
        <v>422</v>
      </c>
      <c r="B80" s="17" t="n">
        <v>3798</v>
      </c>
      <c r="C80" s="18">
        <f>(3153.0/B80*100)</f>
        <v/>
      </c>
      <c r="D80" s="19" t="n">
        <v>645</v>
      </c>
      <c r="E80" s="18" t="n">
        <v>45.0877442</v>
      </c>
      <c r="F80" s="20" t="n">
        <v>2.65634569</v>
      </c>
      <c r="G80" s="18" t="n">
        <v>54.90625423</v>
      </c>
      <c r="H80" s="20" t="n">
        <v>2.65484866</v>
      </c>
      <c r="I80" s="18" t="s">
        <v>349</v>
      </c>
      <c r="J80" s="20" t="s">
        <v>349</v>
      </c>
      <c r="K80" s="18" t="n">
        <v>0</v>
      </c>
      <c r="L80" s="20" t="n">
        <v>0</v>
      </c>
      <c r="M80" s="18" t="n">
        <v>0</v>
      </c>
      <c r="N80" s="20" t="n">
        <v>0</v>
      </c>
      <c r="O80" s="18" t="n">
        <v>0</v>
      </c>
      <c r="P80" s="20" t="n">
        <v>0</v>
      </c>
      <c r="Q80" s="18" t="n">
        <v>0.00600157</v>
      </c>
      <c r="R80" s="20" t="n">
        <v>0.00604922</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69.36091256</v>
      </c>
      <c r="F44" s="20" t="n">
        <v>2.79567336</v>
      </c>
      <c r="G44" s="18" t="n">
        <v>24.44845716</v>
      </c>
      <c r="H44" s="20" t="n">
        <v>3.15784044</v>
      </c>
      <c r="I44" s="18" t="s">
        <v>349</v>
      </c>
      <c r="J44" s="20" t="s">
        <v>349</v>
      </c>
      <c r="K44" s="18" t="n">
        <v>2.17613205</v>
      </c>
      <c r="L44" s="20" t="n">
        <v>0.71186086</v>
      </c>
      <c r="M44" s="18" t="n">
        <v>0</v>
      </c>
      <c r="N44" s="20" t="n">
        <v>0</v>
      </c>
      <c r="O44" s="18" t="n">
        <v>0</v>
      </c>
      <c r="P44" s="20" t="n">
        <v>0</v>
      </c>
      <c r="Q44" s="18" t="n">
        <v>4.01449823</v>
      </c>
      <c r="R44" s="20" t="n">
        <v>0.92082177</v>
      </c>
    </row>
    <row r="45" spans="1:18">
      <c r="A45" s="15" t="s">
        <v>387</v>
      </c>
      <c r="B45" s="17" t="n">
        <v>2849</v>
      </c>
      <c r="C45" s="18">
        <f>(2366.0/B45*100)</f>
        <v/>
      </c>
      <c r="D45" s="19" t="n">
        <v>483</v>
      </c>
      <c r="E45" s="18" t="n">
        <v>72.85581079000001</v>
      </c>
      <c r="F45" s="20" t="n">
        <v>2.20243559</v>
      </c>
      <c r="G45" s="18" t="n">
        <v>17.73541475</v>
      </c>
      <c r="H45" s="20" t="n">
        <v>1.95001298</v>
      </c>
      <c r="I45" s="18" t="s">
        <v>349</v>
      </c>
      <c r="J45" s="20" t="s">
        <v>349</v>
      </c>
      <c r="K45" s="18" t="n">
        <v>3.19151826</v>
      </c>
      <c r="L45" s="20" t="n">
        <v>0.8477323</v>
      </c>
      <c r="M45" s="18" t="n">
        <v>0</v>
      </c>
      <c r="N45" s="20" t="n">
        <v>0</v>
      </c>
      <c r="O45" s="18" t="n">
        <v>0.20557378</v>
      </c>
      <c r="P45" s="20" t="n">
        <v>0.21917268</v>
      </c>
      <c r="Q45" s="18" t="n">
        <v>6.01168242</v>
      </c>
      <c r="R45" s="20" t="n">
        <v>1.07402441</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78.44596553</v>
      </c>
      <c r="F49" s="20" t="n">
        <v>2.32118815</v>
      </c>
      <c r="G49" s="18" t="n">
        <v>17.66318611</v>
      </c>
      <c r="H49" s="20" t="n">
        <v>2.01998787</v>
      </c>
      <c r="I49" s="18" t="s">
        <v>349</v>
      </c>
      <c r="J49" s="20" t="s">
        <v>349</v>
      </c>
      <c r="K49" s="18" t="n">
        <v>1.65699809</v>
      </c>
      <c r="L49" s="20" t="n">
        <v>0.54716257</v>
      </c>
      <c r="M49" s="18" t="n">
        <v>0</v>
      </c>
      <c r="N49" s="20" t="n">
        <v>0</v>
      </c>
      <c r="O49" s="18" t="n">
        <v>0</v>
      </c>
      <c r="P49" s="20" t="n">
        <v>0</v>
      </c>
      <c r="Q49" s="18" t="n">
        <v>2.23385027</v>
      </c>
      <c r="R49" s="20" t="n">
        <v>0.75936751</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69.56559953</v>
      </c>
      <c r="F55" s="20" t="n">
        <v>2.27318709</v>
      </c>
      <c r="G55" s="18" t="n">
        <v>25.12349196</v>
      </c>
      <c r="H55" s="20" t="n">
        <v>2.27712919</v>
      </c>
      <c r="I55" s="18" t="s">
        <v>349</v>
      </c>
      <c r="J55" s="20" t="s">
        <v>349</v>
      </c>
      <c r="K55" s="18" t="n">
        <v>2.20970213</v>
      </c>
      <c r="L55" s="20" t="n">
        <v>0.69869774</v>
      </c>
      <c r="M55" s="18" t="n">
        <v>0</v>
      </c>
      <c r="N55" s="20" t="n">
        <v>0</v>
      </c>
      <c r="O55" s="18" t="n">
        <v>0</v>
      </c>
      <c r="P55" s="20" t="n">
        <v>0</v>
      </c>
      <c r="Q55" s="18" t="n">
        <v>3.10120639</v>
      </c>
      <c r="R55" s="20" t="n">
        <v>0.750533</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84.79210156000001</v>
      </c>
      <c r="F57" s="20" t="n">
        <v>1.57470354</v>
      </c>
      <c r="G57" s="18" t="n">
        <v>14.32239747</v>
      </c>
      <c r="H57" s="20" t="n">
        <v>1.49316866</v>
      </c>
      <c r="I57" s="18" t="s">
        <v>349</v>
      </c>
      <c r="J57" s="20" t="s">
        <v>349</v>
      </c>
      <c r="K57" s="18" t="n">
        <v>0.5041354</v>
      </c>
      <c r="L57" s="20" t="n">
        <v>0.29241447</v>
      </c>
      <c r="M57" s="18" t="n">
        <v>0</v>
      </c>
      <c r="N57" s="20" t="n">
        <v>0</v>
      </c>
      <c r="O57" s="18" t="n">
        <v>0</v>
      </c>
      <c r="P57" s="20" t="n">
        <v>0</v>
      </c>
      <c r="Q57" s="18" t="n">
        <v>0.38136556</v>
      </c>
      <c r="R57" s="20" t="n">
        <v>0.35275153</v>
      </c>
    </row>
    <row r="58" spans="1:18">
      <c r="A58" s="15" t="s">
        <v>400</v>
      </c>
      <c r="B58" s="17" t="n">
        <v>3530</v>
      </c>
      <c r="C58" s="18">
        <f>(2946.0/B58*100)</f>
        <v/>
      </c>
      <c r="D58" s="19" t="n">
        <v>584</v>
      </c>
      <c r="E58" s="18" t="n">
        <v>76.51657458</v>
      </c>
      <c r="F58" s="20" t="n">
        <v>2.17513683</v>
      </c>
      <c r="G58" s="18" t="n">
        <v>20.97493716</v>
      </c>
      <c r="H58" s="20" t="n">
        <v>1.90542979</v>
      </c>
      <c r="I58" s="18" t="s">
        <v>349</v>
      </c>
      <c r="J58" s="20" t="s">
        <v>349</v>
      </c>
      <c r="K58" s="18" t="n">
        <v>1.1731608</v>
      </c>
      <c r="L58" s="20" t="n">
        <v>0.5084525600000001</v>
      </c>
      <c r="M58" s="18" t="n">
        <v>0</v>
      </c>
      <c r="N58" s="20" t="n">
        <v>0</v>
      </c>
      <c r="O58" s="18" t="n">
        <v>0.23442264</v>
      </c>
      <c r="P58" s="20" t="n">
        <v>0.23471679</v>
      </c>
      <c r="Q58" s="18" t="n">
        <v>1.10090482</v>
      </c>
      <c r="R58" s="20" t="n">
        <v>0.47322263</v>
      </c>
    </row>
    <row r="59" spans="1:18">
      <c r="A59" s="15" t="s">
        <v>401</v>
      </c>
      <c r="B59" s="17" t="n">
        <v>2548</v>
      </c>
      <c r="C59" s="18">
        <f>(2102.0/B59*100)</f>
        <v/>
      </c>
      <c r="D59" s="19" t="n">
        <v>446</v>
      </c>
      <c r="E59" s="18" t="n">
        <v>89.32488069999999</v>
      </c>
      <c r="F59" s="20" t="n">
        <v>1.62120801</v>
      </c>
      <c r="G59" s="18" t="n">
        <v>8.456186280000001</v>
      </c>
      <c r="H59" s="20" t="n">
        <v>1.51409749</v>
      </c>
      <c r="I59" s="18" t="s">
        <v>349</v>
      </c>
      <c r="J59" s="20" t="s">
        <v>349</v>
      </c>
      <c r="K59" s="18" t="n">
        <v>0.10925171</v>
      </c>
      <c r="L59" s="20" t="n">
        <v>0.10899222</v>
      </c>
      <c r="M59" s="18" t="n">
        <v>0</v>
      </c>
      <c r="N59" s="20" t="n">
        <v>0</v>
      </c>
      <c r="O59" s="18" t="n">
        <v>0</v>
      </c>
      <c r="P59" s="20" t="n">
        <v>0</v>
      </c>
      <c r="Q59" s="18" t="n">
        <v>2.10968131</v>
      </c>
      <c r="R59" s="20" t="n">
        <v>0.78639862</v>
      </c>
    </row>
    <row r="60" spans="1:18">
      <c r="A60" s="15" t="s">
        <v>402</v>
      </c>
      <c r="B60" s="17" t="n">
        <v>2095</v>
      </c>
      <c r="C60" s="18">
        <f>(1741.0/B60*100)</f>
        <v/>
      </c>
      <c r="D60" s="19" t="n">
        <v>354</v>
      </c>
      <c r="E60" s="18" t="n">
        <v>39.7464781</v>
      </c>
      <c r="F60" s="20" t="n">
        <v>2.74099179</v>
      </c>
      <c r="G60" s="18" t="n">
        <v>56.76573552</v>
      </c>
      <c r="H60" s="20" t="n">
        <v>2.81342123</v>
      </c>
      <c r="I60" s="18" t="s">
        <v>349</v>
      </c>
      <c r="J60" s="20" t="s">
        <v>349</v>
      </c>
      <c r="K60" s="18" t="n">
        <v>1.44501076</v>
      </c>
      <c r="L60" s="20" t="n">
        <v>0.63086599</v>
      </c>
      <c r="M60" s="18" t="n">
        <v>0</v>
      </c>
      <c r="N60" s="20" t="n">
        <v>0</v>
      </c>
      <c r="O60" s="18" t="n">
        <v>0</v>
      </c>
      <c r="P60" s="20" t="n">
        <v>0</v>
      </c>
      <c r="Q60" s="18" t="n">
        <v>2.04277563</v>
      </c>
      <c r="R60" s="20" t="n">
        <v>0.95983412</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77.94692408</v>
      </c>
      <c r="F63" s="20" t="n">
        <v>1.91226412</v>
      </c>
      <c r="G63" s="18" t="n">
        <v>16.4962033</v>
      </c>
      <c r="H63" s="20" t="n">
        <v>1.902688</v>
      </c>
      <c r="I63" s="18" t="s">
        <v>349</v>
      </c>
      <c r="J63" s="20" t="s">
        <v>349</v>
      </c>
      <c r="K63" s="18" t="n">
        <v>2.37129355</v>
      </c>
      <c r="L63" s="20" t="n">
        <v>0.75524208</v>
      </c>
      <c r="M63" s="18" t="n">
        <v>0</v>
      </c>
      <c r="N63" s="20" t="n">
        <v>0</v>
      </c>
      <c r="O63" s="18" t="n">
        <v>0</v>
      </c>
      <c r="P63" s="20" t="n">
        <v>0</v>
      </c>
      <c r="Q63" s="18" t="n">
        <v>3.18557906</v>
      </c>
      <c r="R63" s="20" t="n">
        <v>0.94372798</v>
      </c>
    </row>
    <row r="64" spans="1:18">
      <c r="A64" s="15" t="s">
        <v>406</v>
      </c>
      <c r="B64" s="17" t="n">
        <v>1844</v>
      </c>
      <c r="C64" s="18">
        <f>(1531.0/B64*100)</f>
        <v/>
      </c>
      <c r="D64" s="19" t="n">
        <v>313</v>
      </c>
      <c r="E64" s="18" t="n">
        <v>48.13044665</v>
      </c>
      <c r="F64" s="20" t="n">
        <v>3.03067695</v>
      </c>
      <c r="G64" s="18" t="n">
        <v>46.24882071</v>
      </c>
      <c r="H64" s="20" t="n">
        <v>3.10189539</v>
      </c>
      <c r="I64" s="18" t="s">
        <v>349</v>
      </c>
      <c r="J64" s="20" t="s">
        <v>349</v>
      </c>
      <c r="K64" s="18" t="n">
        <v>3.55149773</v>
      </c>
      <c r="L64" s="20" t="n">
        <v>1.07746165</v>
      </c>
      <c r="M64" s="18" t="n">
        <v>0</v>
      </c>
      <c r="N64" s="20" t="n">
        <v>0</v>
      </c>
      <c r="O64" s="18" t="n">
        <v>0</v>
      </c>
      <c r="P64" s="20" t="n">
        <v>0</v>
      </c>
      <c r="Q64" s="18" t="n">
        <v>2.06923491</v>
      </c>
      <c r="R64" s="20" t="n">
        <v>0.82485626</v>
      </c>
    </row>
    <row r="65" spans="1:18">
      <c r="A65" s="15" t="s">
        <v>407</v>
      </c>
      <c r="B65" s="17" t="n">
        <v>2691</v>
      </c>
      <c r="C65" s="18">
        <f>(2249.0/B65*100)</f>
        <v/>
      </c>
      <c r="D65" s="19" t="n">
        <v>442</v>
      </c>
      <c r="E65" s="18" t="n">
        <v>68.51386081</v>
      </c>
      <c r="F65" s="20" t="n">
        <v>2.26416102</v>
      </c>
      <c r="G65" s="18" t="n">
        <v>25.14709579</v>
      </c>
      <c r="H65" s="20" t="n">
        <v>2.11277443</v>
      </c>
      <c r="I65" s="18" t="s">
        <v>349</v>
      </c>
      <c r="J65" s="20" t="s">
        <v>349</v>
      </c>
      <c r="K65" s="18" t="n">
        <v>3.83275841</v>
      </c>
      <c r="L65" s="20" t="n">
        <v>0.88679136</v>
      </c>
      <c r="M65" s="18" t="n">
        <v>0</v>
      </c>
      <c r="N65" s="20" t="n">
        <v>0</v>
      </c>
      <c r="O65" s="18" t="n">
        <v>0</v>
      </c>
      <c r="P65" s="20" t="n">
        <v>0</v>
      </c>
      <c r="Q65" s="18" t="n">
        <v>2.50628498</v>
      </c>
      <c r="R65" s="20" t="n">
        <v>0.81654384</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69.37178455999999</v>
      </c>
      <c r="F69" s="20" t="n">
        <v>2.66759089</v>
      </c>
      <c r="G69" s="18" t="n">
        <v>30.37838361</v>
      </c>
      <c r="H69" s="20" t="n">
        <v>2.66113138</v>
      </c>
      <c r="I69" s="18" t="s">
        <v>349</v>
      </c>
      <c r="J69" s="20" t="s">
        <v>349</v>
      </c>
      <c r="K69" s="18" t="n">
        <v>0</v>
      </c>
      <c r="L69" s="20" t="n">
        <v>0</v>
      </c>
      <c r="M69" s="18" t="n">
        <v>0</v>
      </c>
      <c r="N69" s="20" t="n">
        <v>0</v>
      </c>
      <c r="O69" s="18" t="n">
        <v>0</v>
      </c>
      <c r="P69" s="20" t="n">
        <v>0</v>
      </c>
      <c r="Q69" s="18" t="n">
        <v>0.24983184</v>
      </c>
      <c r="R69" s="20" t="n">
        <v>0.25021404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80.85204742000001</v>
      </c>
      <c r="F74" s="20" t="n">
        <v>2.38743115</v>
      </c>
      <c r="G74" s="18" t="n">
        <v>10.79204038</v>
      </c>
      <c r="H74" s="20" t="n">
        <v>1.55591303</v>
      </c>
      <c r="I74" s="18" t="s">
        <v>349</v>
      </c>
      <c r="J74" s="20" t="s">
        <v>349</v>
      </c>
      <c r="K74" s="18" t="n">
        <v>5.58842412</v>
      </c>
      <c r="L74" s="20" t="n">
        <v>1.51589365</v>
      </c>
      <c r="M74" s="18" t="n">
        <v>0</v>
      </c>
      <c r="N74" s="20" t="n">
        <v>0</v>
      </c>
      <c r="O74" s="18" t="n">
        <v>0</v>
      </c>
      <c r="P74" s="20" t="n">
        <v>0</v>
      </c>
      <c r="Q74" s="18" t="n">
        <v>2.76748809</v>
      </c>
      <c r="R74" s="20" t="n">
        <v>1.03189276</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37.24424494</v>
      </c>
      <c r="F78" s="20" t="n">
        <v>2.97956085</v>
      </c>
      <c r="G78" s="18" t="n">
        <v>62.75575506</v>
      </c>
      <c r="H78" s="20" t="n">
        <v>2.97956085</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(653.0/B79*100)</f>
        <v/>
      </c>
      <c r="D79" s="19" t="n">
        <v>134</v>
      </c>
      <c r="E79" s="18" t="n">
        <v>68.33670051999999</v>
      </c>
      <c r="F79" s="20" t="n">
        <v>4.30777784</v>
      </c>
      <c r="G79" s="18" t="n">
        <v>24.40451572</v>
      </c>
      <c r="H79" s="20" t="n">
        <v>4.19035206</v>
      </c>
      <c r="I79" s="18" t="s">
        <v>349</v>
      </c>
      <c r="J79" s="20" t="s">
        <v>349</v>
      </c>
      <c r="K79" s="18" t="n">
        <v>4.18771407</v>
      </c>
      <c r="L79" s="20" t="n">
        <v>1.81566362</v>
      </c>
      <c r="M79" s="18" t="n">
        <v>0</v>
      </c>
      <c r="N79" s="20" t="n">
        <v>0</v>
      </c>
      <c r="O79" s="18" t="n">
        <v>0</v>
      </c>
      <c r="P79" s="20" t="n">
        <v>0</v>
      </c>
      <c r="Q79" s="18" t="n">
        <v>3.07106969</v>
      </c>
      <c r="R79" s="20" t="n">
        <v>1.72065156</v>
      </c>
    </row>
    <row r="80" spans="1:18">
      <c r="A80" s="15" t="s">
        <v>422</v>
      </c>
      <c r="B80" s="17" t="n">
        <v>3798</v>
      </c>
      <c r="C80" s="18">
        <f>(3153.0/B80*100)</f>
        <v/>
      </c>
      <c r="D80" s="19" t="n">
        <v>645</v>
      </c>
      <c r="E80" s="18" t="n">
        <v>68.83873268000001</v>
      </c>
      <c r="F80" s="20" t="n">
        <v>2.26413712</v>
      </c>
      <c r="G80" s="18" t="n">
        <v>31.15526575</v>
      </c>
      <c r="H80" s="20" t="n">
        <v>2.26320397</v>
      </c>
      <c r="I80" s="18" t="s">
        <v>349</v>
      </c>
      <c r="J80" s="20" t="s">
        <v>349</v>
      </c>
      <c r="K80" s="18" t="n">
        <v>0</v>
      </c>
      <c r="L80" s="20" t="n">
        <v>0</v>
      </c>
      <c r="M80" s="18" t="n">
        <v>0</v>
      </c>
      <c r="N80" s="20" t="n">
        <v>0</v>
      </c>
      <c r="O80" s="18" t="n">
        <v>0</v>
      </c>
      <c r="P80" s="20" t="n">
        <v>0</v>
      </c>
      <c r="Q80" s="18" t="n">
        <v>0.00600157</v>
      </c>
      <c r="R80" s="20" t="n">
        <v>0.00604922</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586</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2524</v>
      </c>
      <c r="C44" s="18">
        <f>(2103.0/B44*100)</f>
        <v/>
      </c>
      <c r="D44" s="19" t="n">
        <v>421</v>
      </c>
      <c r="E44" s="18" t="n">
        <v>22.15861851</v>
      </c>
      <c r="F44" s="20" t="n">
        <v>2.73538789</v>
      </c>
      <c r="G44" s="18" t="n">
        <v>4.47024858</v>
      </c>
      <c r="H44" s="20" t="n">
        <v>1.16693019</v>
      </c>
      <c r="I44" s="18" t="n">
        <v>15.88084276</v>
      </c>
      <c r="J44" s="20" t="n">
        <v>2.22492082</v>
      </c>
      <c r="K44" s="18" t="s">
        <v>349</v>
      </c>
      <c r="L44" s="20" t="s">
        <v>349</v>
      </c>
      <c r="M44" s="18" t="n">
        <v>3.49821122</v>
      </c>
      <c r="N44" s="20" t="n">
        <v>0.80390578</v>
      </c>
      <c r="O44" s="18" t="n">
        <v>0</v>
      </c>
      <c r="P44" s="20" t="n">
        <v>0</v>
      </c>
      <c r="Q44" s="18" t="n">
        <v>0</v>
      </c>
      <c r="R44" s="20" t="n">
        <v>0</v>
      </c>
      <c r="S44" s="18" t="n">
        <v>53.99207893</v>
      </c>
      <c r="T44" s="20" t="n">
        <v>3.10702765</v>
      </c>
    </row>
    <row r="45" spans="1:20">
      <c r="A45" s="15" t="s">
        <v>387</v>
      </c>
      <c r="B45" s="17" t="n">
        <v>2849</v>
      </c>
      <c r="C45" s="18">
        <f>(2366.0/B45*100)</f>
        <v/>
      </c>
      <c r="D45" s="19" t="n">
        <v>483</v>
      </c>
      <c r="E45" s="18" t="n">
        <v>44.33090165</v>
      </c>
      <c r="F45" s="20" t="n">
        <v>2.17226396</v>
      </c>
      <c r="G45" s="18" t="n">
        <v>4.25296399</v>
      </c>
      <c r="H45" s="20" t="n">
        <v>0.87388081</v>
      </c>
      <c r="I45" s="18" t="n">
        <v>9.40130984</v>
      </c>
      <c r="J45" s="20" t="n">
        <v>1.4071483</v>
      </c>
      <c r="K45" s="18" t="s">
        <v>349</v>
      </c>
      <c r="L45" s="20" t="s">
        <v>349</v>
      </c>
      <c r="M45" s="18" t="n">
        <v>4.54762807</v>
      </c>
      <c r="N45" s="20" t="n">
        <v>1.00194061</v>
      </c>
      <c r="O45" s="18" t="n">
        <v>0</v>
      </c>
      <c r="P45" s="20" t="n">
        <v>0</v>
      </c>
      <c r="Q45" s="18" t="n">
        <v>0</v>
      </c>
      <c r="R45" s="20" t="n">
        <v>0</v>
      </c>
      <c r="S45" s="18" t="n">
        <v>37.46719645</v>
      </c>
      <c r="T45" s="20" t="n">
        <v>2.18217222</v>
      </c>
    </row>
    <row r="46" spans="1:20">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3018</v>
      </c>
      <c r="C49" s="18">
        <f>(2487.0/B49*100)</f>
        <v/>
      </c>
      <c r="D49" s="19" t="n">
        <v>531</v>
      </c>
      <c r="E49" s="18" t="n">
        <v>37.50974717</v>
      </c>
      <c r="F49" s="20" t="n">
        <v>2.53433064</v>
      </c>
      <c r="G49" s="18" t="n">
        <v>1.87462534</v>
      </c>
      <c r="H49" s="20" t="n">
        <v>0.6273055199999999</v>
      </c>
      <c r="I49" s="18" t="n">
        <v>15.37035192</v>
      </c>
      <c r="J49" s="20" t="n">
        <v>1.82286278</v>
      </c>
      <c r="K49" s="18" t="s">
        <v>349</v>
      </c>
      <c r="L49" s="20" t="s">
        <v>349</v>
      </c>
      <c r="M49" s="18" t="n">
        <v>2.12681324</v>
      </c>
      <c r="N49" s="20" t="n">
        <v>0.54608459</v>
      </c>
      <c r="O49" s="18" t="n">
        <v>0</v>
      </c>
      <c r="P49" s="20" t="n">
        <v>0</v>
      </c>
      <c r="Q49" s="18" t="n">
        <v>0</v>
      </c>
      <c r="R49" s="20" t="n">
        <v>0</v>
      </c>
      <c r="S49" s="18" t="n">
        <v>43.11846232</v>
      </c>
      <c r="T49" s="20" t="n">
        <v>2.84791225</v>
      </c>
    </row>
    <row r="50" spans="1:20">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2759</v>
      </c>
      <c r="C55" s="18">
        <f>(2314.0/B55*100)</f>
        <v/>
      </c>
      <c r="D55" s="19" t="n">
        <v>445</v>
      </c>
      <c r="E55" s="18" t="n">
        <v>21.18649261</v>
      </c>
      <c r="F55" s="20" t="n">
        <v>2.1853236</v>
      </c>
      <c r="G55" s="18" t="n">
        <v>3.41211775</v>
      </c>
      <c r="H55" s="20" t="n">
        <v>1.05355586</v>
      </c>
      <c r="I55" s="18" t="n">
        <v>16.6288795</v>
      </c>
      <c r="J55" s="20" t="n">
        <v>1.91976823</v>
      </c>
      <c r="K55" s="18" t="s">
        <v>349</v>
      </c>
      <c r="L55" s="20" t="s">
        <v>349</v>
      </c>
      <c r="M55" s="18" t="n">
        <v>2.80416309</v>
      </c>
      <c r="N55" s="20" t="n">
        <v>0.77047724</v>
      </c>
      <c r="O55" s="18" t="n">
        <v>0</v>
      </c>
      <c r="P55" s="20" t="n">
        <v>0</v>
      </c>
      <c r="Q55" s="18" t="n">
        <v>0</v>
      </c>
      <c r="R55" s="20" t="n">
        <v>0</v>
      </c>
      <c r="S55" s="18" t="n">
        <v>55.96834705</v>
      </c>
      <c r="T55" s="20" t="n">
        <v>2.3325504</v>
      </c>
    </row>
    <row r="56" spans="1:20">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3170</v>
      </c>
      <c r="C57" s="18">
        <f>(2639.0/B57*100)</f>
        <v/>
      </c>
      <c r="D57" s="19" t="n">
        <v>531</v>
      </c>
      <c r="E57" s="18" t="n">
        <v>71.77942772</v>
      </c>
      <c r="F57" s="20" t="n">
        <v>1.87176687</v>
      </c>
      <c r="G57" s="18" t="n">
        <v>2.81959938</v>
      </c>
      <c r="H57" s="20" t="n">
        <v>0.63444701</v>
      </c>
      <c r="I57" s="18" t="n">
        <v>10.65498323</v>
      </c>
      <c r="J57" s="20" t="n">
        <v>1.27577142</v>
      </c>
      <c r="K57" s="18" t="s">
        <v>349</v>
      </c>
      <c r="L57" s="20" t="s">
        <v>349</v>
      </c>
      <c r="M57" s="18" t="n">
        <v>0.81655233</v>
      </c>
      <c r="N57" s="20" t="n">
        <v>0.36634619</v>
      </c>
      <c r="O57" s="18" t="n">
        <v>0</v>
      </c>
      <c r="P57" s="20" t="n">
        <v>0</v>
      </c>
      <c r="Q57" s="18" t="n">
        <v>0</v>
      </c>
      <c r="R57" s="20" t="n">
        <v>0</v>
      </c>
      <c r="S57" s="18" t="n">
        <v>13.92943734</v>
      </c>
      <c r="T57" s="20" t="n">
        <v>1.6602213</v>
      </c>
    </row>
    <row r="58" spans="1:20">
      <c r="A58" s="15" t="s">
        <v>400</v>
      </c>
      <c r="B58" s="17" t="n">
        <v>3530</v>
      </c>
      <c r="C58" s="18">
        <f>(2946.0/B58*100)</f>
        <v/>
      </c>
      <c r="D58" s="19" t="n">
        <v>584</v>
      </c>
      <c r="E58" s="18" t="n">
        <v>52.88088714</v>
      </c>
      <c r="F58" s="20" t="n">
        <v>2.97697568</v>
      </c>
      <c r="G58" s="18" t="n">
        <v>2.54872633</v>
      </c>
      <c r="H58" s="20" t="n">
        <v>0.86188037</v>
      </c>
      <c r="I58" s="18" t="n">
        <v>8.15449958</v>
      </c>
      <c r="J58" s="20" t="n">
        <v>1.13903937</v>
      </c>
      <c r="K58" s="18" t="s">
        <v>349</v>
      </c>
      <c r="L58" s="20" t="s">
        <v>349</v>
      </c>
      <c r="M58" s="18" t="n">
        <v>3.87870637</v>
      </c>
      <c r="N58" s="20" t="n">
        <v>0.9419080399999999</v>
      </c>
      <c r="O58" s="18" t="n">
        <v>0</v>
      </c>
      <c r="P58" s="20" t="n">
        <v>0</v>
      </c>
      <c r="Q58" s="18" t="n">
        <v>0</v>
      </c>
      <c r="R58" s="20" t="n">
        <v>0</v>
      </c>
      <c r="S58" s="18" t="n">
        <v>32.53718057</v>
      </c>
      <c r="T58" s="20" t="n">
        <v>2.61391715</v>
      </c>
    </row>
    <row r="59" spans="1:20">
      <c r="A59" s="15" t="s">
        <v>401</v>
      </c>
      <c r="B59" s="17" t="n">
        <v>2548</v>
      </c>
      <c r="C59" s="18">
        <f>(2102.0/B59*100)</f>
        <v/>
      </c>
      <c r="D59" s="19" t="n">
        <v>446</v>
      </c>
      <c r="E59" s="18" t="n">
        <v>57.29257724</v>
      </c>
      <c r="F59" s="20" t="n">
        <v>2.62573266</v>
      </c>
      <c r="G59" s="18" t="n">
        <v>0.41962944</v>
      </c>
      <c r="H59" s="20" t="n">
        <v>0.2595801</v>
      </c>
      <c r="I59" s="18" t="n">
        <v>8.92911496</v>
      </c>
      <c r="J59" s="20" t="n">
        <v>1.48292388</v>
      </c>
      <c r="K59" s="18" t="s">
        <v>349</v>
      </c>
      <c r="L59" s="20" t="s">
        <v>349</v>
      </c>
      <c r="M59" s="18" t="n">
        <v>0.50373581</v>
      </c>
      <c r="N59" s="20" t="n">
        <v>0.21358956</v>
      </c>
      <c r="O59" s="18" t="n">
        <v>0</v>
      </c>
      <c r="P59" s="20" t="n">
        <v>0</v>
      </c>
      <c r="Q59" s="18" t="n">
        <v>0</v>
      </c>
      <c r="R59" s="20" t="n">
        <v>0</v>
      </c>
      <c r="S59" s="18" t="n">
        <v>32.85494255</v>
      </c>
      <c r="T59" s="20" t="n">
        <v>2.28369896</v>
      </c>
    </row>
    <row r="60" spans="1:20">
      <c r="A60" s="15" t="s">
        <v>402</v>
      </c>
      <c r="B60" s="17" t="n">
        <v>2095</v>
      </c>
      <c r="C60" s="18">
        <f>(1741.0/B60*100)</f>
        <v/>
      </c>
      <c r="D60" s="19" t="n">
        <v>354</v>
      </c>
      <c r="E60" s="18" t="n">
        <v>28.01313597</v>
      </c>
      <c r="F60" s="20" t="n">
        <v>2.78724561</v>
      </c>
      <c r="G60" s="18" t="n">
        <v>3.33390458</v>
      </c>
      <c r="H60" s="20" t="n">
        <v>0.91947841</v>
      </c>
      <c r="I60" s="18" t="n">
        <v>29.82511002</v>
      </c>
      <c r="J60" s="20" t="n">
        <v>2.79650421</v>
      </c>
      <c r="K60" s="18" t="s">
        <v>349</v>
      </c>
      <c r="L60" s="20" t="s">
        <v>349</v>
      </c>
      <c r="M60" s="18" t="n">
        <v>4.05481916</v>
      </c>
      <c r="N60" s="20" t="n">
        <v>1.04920935</v>
      </c>
      <c r="O60" s="18" t="n">
        <v>0</v>
      </c>
      <c r="P60" s="20" t="n">
        <v>0</v>
      </c>
      <c r="Q60" s="18" t="n">
        <v>0</v>
      </c>
      <c r="R60" s="20" t="n">
        <v>0</v>
      </c>
      <c r="S60" s="18" t="n">
        <v>34.77303027</v>
      </c>
      <c r="T60" s="20" t="n">
        <v>3.17990104</v>
      </c>
    </row>
    <row r="61" spans="1:20">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2813</v>
      </c>
      <c r="C63" s="18">
        <f>(2340.0/B63*100)</f>
        <v/>
      </c>
      <c r="D63" s="19" t="n">
        <v>473</v>
      </c>
      <c r="E63" s="18" t="n">
        <v>23.10607536</v>
      </c>
      <c r="F63" s="20" t="n">
        <v>2.10626011</v>
      </c>
      <c r="G63" s="18" t="n">
        <v>2.65619501</v>
      </c>
      <c r="H63" s="20" t="n">
        <v>0.81949064</v>
      </c>
      <c r="I63" s="18" t="n">
        <v>9.486283179999999</v>
      </c>
      <c r="J63" s="20" t="n">
        <v>1.4860769</v>
      </c>
      <c r="K63" s="18" t="s">
        <v>349</v>
      </c>
      <c r="L63" s="20" t="s">
        <v>349</v>
      </c>
      <c r="M63" s="18" t="n">
        <v>5.83128978</v>
      </c>
      <c r="N63" s="20" t="n">
        <v>1.22460872</v>
      </c>
      <c r="O63" s="18" t="n">
        <v>0</v>
      </c>
      <c r="P63" s="20" t="n">
        <v>0</v>
      </c>
      <c r="Q63" s="18" t="n">
        <v>0</v>
      </c>
      <c r="R63" s="20" t="n">
        <v>0</v>
      </c>
      <c r="S63" s="18" t="n">
        <v>58.92015667</v>
      </c>
      <c r="T63" s="20" t="n">
        <v>2.1780611</v>
      </c>
    </row>
    <row r="64" spans="1:20">
      <c r="A64" s="15" t="s">
        <v>406</v>
      </c>
      <c r="B64" s="17" t="n">
        <v>1844</v>
      </c>
      <c r="C64" s="18">
        <f>(1531.0/B64*100)</f>
        <v/>
      </c>
      <c r="D64" s="19" t="n">
        <v>313</v>
      </c>
      <c r="E64" s="18" t="n">
        <v>25.30217866</v>
      </c>
      <c r="F64" s="20" t="n">
        <v>2.48369057</v>
      </c>
      <c r="G64" s="18" t="n">
        <v>1.43993407</v>
      </c>
      <c r="H64" s="20" t="n">
        <v>0.63235469</v>
      </c>
      <c r="I64" s="18" t="n">
        <v>42.16102152</v>
      </c>
      <c r="J64" s="20" t="n">
        <v>3.11486532</v>
      </c>
      <c r="K64" s="18" t="s">
        <v>349</v>
      </c>
      <c r="L64" s="20" t="s">
        <v>349</v>
      </c>
      <c r="M64" s="18" t="n">
        <v>3.88626104</v>
      </c>
      <c r="N64" s="20" t="n">
        <v>1.1212581</v>
      </c>
      <c r="O64" s="18" t="n">
        <v>0</v>
      </c>
      <c r="P64" s="20" t="n">
        <v>0</v>
      </c>
      <c r="Q64" s="18" t="n">
        <v>0</v>
      </c>
      <c r="R64" s="20" t="n">
        <v>0</v>
      </c>
      <c r="S64" s="18" t="n">
        <v>27.21060472</v>
      </c>
      <c r="T64" s="20" t="n">
        <v>2.35469015</v>
      </c>
    </row>
    <row r="65" spans="1:20">
      <c r="A65" s="15" t="s">
        <v>407</v>
      </c>
      <c r="B65" s="17" t="n">
        <v>2691</v>
      </c>
      <c r="C65" s="18">
        <f>(2249.0/B65*100)</f>
        <v/>
      </c>
      <c r="D65" s="19" t="n">
        <v>442</v>
      </c>
      <c r="E65" s="18" t="n">
        <v>21.92383353</v>
      </c>
      <c r="F65" s="20" t="n">
        <v>1.98378081</v>
      </c>
      <c r="G65" s="18" t="n">
        <v>1.48278712</v>
      </c>
      <c r="H65" s="20" t="n">
        <v>0.55856314</v>
      </c>
      <c r="I65" s="18" t="n">
        <v>14.63603717</v>
      </c>
      <c r="J65" s="20" t="n">
        <v>1.67395671</v>
      </c>
      <c r="K65" s="18" t="s">
        <v>349</v>
      </c>
      <c r="L65" s="20" t="s">
        <v>349</v>
      </c>
      <c r="M65" s="18" t="n">
        <v>6.94346858</v>
      </c>
      <c r="N65" s="20" t="n">
        <v>1.09400579</v>
      </c>
      <c r="O65" s="18" t="n">
        <v>0</v>
      </c>
      <c r="P65" s="20" t="n">
        <v>0</v>
      </c>
      <c r="Q65" s="18" t="n">
        <v>0</v>
      </c>
      <c r="R65" s="20" t="n">
        <v>0</v>
      </c>
      <c r="S65" s="18" t="n">
        <v>55.0138736</v>
      </c>
      <c r="T65" s="20" t="n">
        <v>2.44788763</v>
      </c>
    </row>
    <row r="66" spans="1:20">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2410</v>
      </c>
      <c r="C69" s="18">
        <f>(2007.0/B69*100)</f>
        <v/>
      </c>
      <c r="D69" s="19" t="n">
        <v>403</v>
      </c>
      <c r="E69" s="18" t="n">
        <v>71.60376194</v>
      </c>
      <c r="F69" s="20" t="n">
        <v>2.36159139</v>
      </c>
      <c r="G69" s="18" t="n">
        <v>6.47655034</v>
      </c>
      <c r="H69" s="20" t="n">
        <v>1.21647901</v>
      </c>
      <c r="I69" s="18" t="n">
        <v>21.23514954</v>
      </c>
      <c r="J69" s="20" t="n">
        <v>2.23534278</v>
      </c>
      <c r="K69" s="18" t="s">
        <v>349</v>
      </c>
      <c r="L69" s="20" t="s">
        <v>349</v>
      </c>
      <c r="M69" s="18" t="n">
        <v>0</v>
      </c>
      <c r="N69" s="20" t="n">
        <v>0</v>
      </c>
      <c r="O69" s="18" t="n">
        <v>0</v>
      </c>
      <c r="P69" s="20" t="n">
        <v>0</v>
      </c>
      <c r="Q69" s="18" t="n">
        <v>0</v>
      </c>
      <c r="R69" s="20" t="n">
        <v>0</v>
      </c>
      <c r="S69" s="18" t="n">
        <v>0.68453818</v>
      </c>
      <c r="T69" s="20" t="n">
        <v>0.3944664</v>
      </c>
    </row>
    <row r="70" spans="1:20">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2239</v>
      </c>
      <c r="C74" s="18">
        <f>(1865.0/B74*100)</f>
        <v/>
      </c>
      <c r="D74" s="19" t="n">
        <v>374</v>
      </c>
      <c r="E74" s="18" t="n">
        <v>32.16692916</v>
      </c>
      <c r="F74" s="20" t="n">
        <v>2.68548134</v>
      </c>
      <c r="G74" s="18" t="n">
        <v>0.21774955</v>
      </c>
      <c r="H74" s="20" t="n">
        <v>0.21691286</v>
      </c>
      <c r="I74" s="18" t="n">
        <v>15.96898912</v>
      </c>
      <c r="J74" s="20" t="n">
        <v>1.98526511</v>
      </c>
      <c r="K74" s="18" t="s">
        <v>349</v>
      </c>
      <c r="L74" s="20" t="s">
        <v>349</v>
      </c>
      <c r="M74" s="18" t="n">
        <v>8.62269933</v>
      </c>
      <c r="N74" s="20" t="n">
        <v>1.83319641</v>
      </c>
      <c r="O74" s="18" t="n">
        <v>0</v>
      </c>
      <c r="P74" s="20" t="n">
        <v>0</v>
      </c>
      <c r="Q74" s="18" t="n">
        <v>0</v>
      </c>
      <c r="R74" s="20" t="n">
        <v>0</v>
      </c>
      <c r="S74" s="18" t="n">
        <v>43.02363284</v>
      </c>
      <c r="T74" s="20" t="n">
        <v>2.71649188</v>
      </c>
    </row>
    <row r="75" spans="1:20">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2786</v>
      </c>
      <c r="C78" s="18">
        <f>(2319.0/B78*100)</f>
        <v/>
      </c>
      <c r="D78" s="19" t="n">
        <v>467</v>
      </c>
      <c r="E78" s="18" t="n">
        <v>56.18156056</v>
      </c>
      <c r="F78" s="20" t="n">
        <v>2.91915294</v>
      </c>
      <c r="G78" s="18" t="n">
        <v>1.34578986</v>
      </c>
      <c r="H78" s="20" t="n">
        <v>0.49029086</v>
      </c>
      <c r="I78" s="18" t="n">
        <v>37.59915443</v>
      </c>
      <c r="J78" s="20" t="n">
        <v>2.9885401</v>
      </c>
      <c r="K78" s="18" t="s">
        <v>349</v>
      </c>
      <c r="L78" s="20" t="s">
        <v>349</v>
      </c>
      <c r="M78" s="18" t="n">
        <v>0</v>
      </c>
      <c r="N78" s="20" t="n">
        <v>0</v>
      </c>
      <c r="O78" s="18" t="n">
        <v>0</v>
      </c>
      <c r="P78" s="20" t="n">
        <v>0</v>
      </c>
      <c r="Q78" s="18" t="n">
        <v>0</v>
      </c>
      <c r="R78" s="20" t="n">
        <v>0</v>
      </c>
      <c r="S78" s="18" t="n">
        <v>4.87349515</v>
      </c>
      <c r="T78" s="20" t="n">
        <v>0.98646433</v>
      </c>
    </row>
    <row customHeight="1" ht="25" r="79" spans="1:20">
      <c r="A79" s="15" t="s">
        <v>421</v>
      </c>
      <c r="B79" s="17" t="n">
        <v>787</v>
      </c>
      <c r="C79" s="18">
        <f>(653.0/B79*100)</f>
        <v/>
      </c>
      <c r="D79" s="19" t="n">
        <v>134</v>
      </c>
      <c r="E79" s="18" t="n">
        <v>26.18258247</v>
      </c>
      <c r="F79" s="20" t="n">
        <v>4.08343119</v>
      </c>
      <c r="G79" s="18" t="n">
        <v>2.36407165</v>
      </c>
      <c r="H79" s="20" t="n">
        <v>0.82818319</v>
      </c>
      <c r="I79" s="18" t="n">
        <v>23.0945849</v>
      </c>
      <c r="J79" s="20" t="n">
        <v>3.88575128</v>
      </c>
      <c r="K79" s="18" t="s">
        <v>349</v>
      </c>
      <c r="L79" s="20" t="s">
        <v>349</v>
      </c>
      <c r="M79" s="18" t="n">
        <v>5.46443679</v>
      </c>
      <c r="N79" s="20" t="n">
        <v>2.06923967</v>
      </c>
      <c r="O79" s="18" t="n">
        <v>0</v>
      </c>
      <c r="P79" s="20" t="n">
        <v>0</v>
      </c>
      <c r="Q79" s="18" t="n">
        <v>0</v>
      </c>
      <c r="R79" s="20" t="n">
        <v>0</v>
      </c>
      <c r="S79" s="18" t="n">
        <v>42.89432419</v>
      </c>
      <c r="T79" s="20" t="n">
        <v>5.13983995</v>
      </c>
    </row>
    <row r="80" spans="1:2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63.37831884</v>
      </c>
      <c r="F44" s="20" t="n">
        <v>2.74996386</v>
      </c>
      <c r="G44" s="18" t="n">
        <v>2.25314975</v>
      </c>
      <c r="H44" s="20" t="n">
        <v>0.72054558</v>
      </c>
      <c r="I44" s="18" t="s">
        <v>349</v>
      </c>
      <c r="J44" s="20" t="s">
        <v>349</v>
      </c>
      <c r="K44" s="18" t="n">
        <v>3.62958386</v>
      </c>
      <c r="L44" s="20" t="n">
        <v>0.85771646</v>
      </c>
      <c r="M44" s="18" t="n">
        <v>0</v>
      </c>
      <c r="N44" s="20" t="n">
        <v>0</v>
      </c>
      <c r="O44" s="18" t="n">
        <v>0</v>
      </c>
      <c r="P44" s="20" t="n">
        <v>0</v>
      </c>
      <c r="Q44" s="18" t="n">
        <v>30.73894755</v>
      </c>
      <c r="R44" s="20" t="n">
        <v>2.81400531</v>
      </c>
    </row>
    <row r="45" spans="1:18">
      <c r="A45" s="15" t="s">
        <v>387</v>
      </c>
      <c r="B45" s="17" t="n">
        <v>2849</v>
      </c>
      <c r="C45" s="18">
        <f>(2366.0/B45*100)</f>
        <v/>
      </c>
      <c r="D45" s="19" t="n">
        <v>483</v>
      </c>
      <c r="E45" s="18" t="n">
        <v>72.09887682</v>
      </c>
      <c r="F45" s="20" t="n">
        <v>2.03903974</v>
      </c>
      <c r="G45" s="18" t="n">
        <v>1.44208055</v>
      </c>
      <c r="H45" s="20" t="n">
        <v>0.55569738</v>
      </c>
      <c r="I45" s="18" t="s">
        <v>349</v>
      </c>
      <c r="J45" s="20" t="s">
        <v>349</v>
      </c>
      <c r="K45" s="18" t="n">
        <v>4.91022972</v>
      </c>
      <c r="L45" s="20" t="n">
        <v>1.06251335</v>
      </c>
      <c r="M45" s="18" t="n">
        <v>0.24373456</v>
      </c>
      <c r="N45" s="20" t="n">
        <v>0.23409962</v>
      </c>
      <c r="O45" s="18" t="n">
        <v>0</v>
      </c>
      <c r="P45" s="20" t="n">
        <v>0</v>
      </c>
      <c r="Q45" s="18" t="n">
        <v>21.30507834</v>
      </c>
      <c r="R45" s="20" t="n">
        <v>1.77951089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73.70555400000001</v>
      </c>
      <c r="F49" s="20" t="n">
        <v>2.30630802</v>
      </c>
      <c r="G49" s="18" t="n">
        <v>3.31864712</v>
      </c>
      <c r="H49" s="20" t="n">
        <v>1.01412706</v>
      </c>
      <c r="I49" s="18" t="s">
        <v>349</v>
      </c>
      <c r="J49" s="20" t="s">
        <v>349</v>
      </c>
      <c r="K49" s="18" t="n">
        <v>2.28511483</v>
      </c>
      <c r="L49" s="20" t="n">
        <v>0.6049513</v>
      </c>
      <c r="M49" s="18" t="n">
        <v>0.27941586</v>
      </c>
      <c r="N49" s="20" t="n">
        <v>0.2937576</v>
      </c>
      <c r="O49" s="18" t="n">
        <v>0</v>
      </c>
      <c r="P49" s="20" t="n">
        <v>0</v>
      </c>
      <c r="Q49" s="18" t="n">
        <v>20.41126819</v>
      </c>
      <c r="R49" s="20" t="n">
        <v>2.07114079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70.35959656</v>
      </c>
      <c r="F55" s="20" t="n">
        <v>2.37424908</v>
      </c>
      <c r="G55" s="18" t="n">
        <v>4.10751983</v>
      </c>
      <c r="H55" s="20" t="n">
        <v>1.05850156</v>
      </c>
      <c r="I55" s="18" t="s">
        <v>349</v>
      </c>
      <c r="J55" s="20" t="s">
        <v>349</v>
      </c>
      <c r="K55" s="18" t="n">
        <v>2.80416309</v>
      </c>
      <c r="L55" s="20" t="n">
        <v>0.77047724</v>
      </c>
      <c r="M55" s="18" t="n">
        <v>0</v>
      </c>
      <c r="N55" s="20" t="n">
        <v>0</v>
      </c>
      <c r="O55" s="18" t="n">
        <v>0</v>
      </c>
      <c r="P55" s="20" t="n">
        <v>0</v>
      </c>
      <c r="Q55" s="18" t="n">
        <v>22.72872052</v>
      </c>
      <c r="R55" s="20" t="n">
        <v>2.10975985</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89.55376932</v>
      </c>
      <c r="F57" s="20" t="n">
        <v>1.76175171</v>
      </c>
      <c r="G57" s="18" t="n">
        <v>3.53120865</v>
      </c>
      <c r="H57" s="20" t="n">
        <v>1.0331847</v>
      </c>
      <c r="I57" s="18" t="s">
        <v>349</v>
      </c>
      <c r="J57" s="20" t="s">
        <v>349</v>
      </c>
      <c r="K57" s="18" t="n">
        <v>1.00198962</v>
      </c>
      <c r="L57" s="20" t="n">
        <v>0.47975264</v>
      </c>
      <c r="M57" s="18" t="n">
        <v>0</v>
      </c>
      <c r="N57" s="20" t="n">
        <v>0</v>
      </c>
      <c r="O57" s="18" t="n">
        <v>0</v>
      </c>
      <c r="P57" s="20" t="n">
        <v>0</v>
      </c>
      <c r="Q57" s="18" t="n">
        <v>5.91303242</v>
      </c>
      <c r="R57" s="20" t="n">
        <v>1.19590604</v>
      </c>
    </row>
    <row r="58" spans="1:18">
      <c r="A58" s="15" t="s">
        <v>400</v>
      </c>
      <c r="B58" s="17" t="n">
        <v>3530</v>
      </c>
      <c r="C58" s="18">
        <f>(2946.0/B58*100)</f>
        <v/>
      </c>
      <c r="D58" s="19" t="n">
        <v>584</v>
      </c>
      <c r="E58" s="18" t="n">
        <v>78.90584784000001</v>
      </c>
      <c r="F58" s="20" t="n">
        <v>2.10136927</v>
      </c>
      <c r="G58" s="18" t="n">
        <v>1.20471611</v>
      </c>
      <c r="H58" s="20" t="n">
        <v>0.59522906</v>
      </c>
      <c r="I58" s="18" t="s">
        <v>349</v>
      </c>
      <c r="J58" s="20" t="s">
        <v>349</v>
      </c>
      <c r="K58" s="18" t="n">
        <v>4.3780802</v>
      </c>
      <c r="L58" s="20" t="n">
        <v>0.93838585</v>
      </c>
      <c r="M58" s="18" t="n">
        <v>0</v>
      </c>
      <c r="N58" s="20" t="n">
        <v>0</v>
      </c>
      <c r="O58" s="18" t="n">
        <v>0</v>
      </c>
      <c r="P58" s="20" t="n">
        <v>0</v>
      </c>
      <c r="Q58" s="18" t="n">
        <v>15.51135586</v>
      </c>
      <c r="R58" s="20" t="n">
        <v>1.88435603</v>
      </c>
    </row>
    <row r="59" spans="1:18">
      <c r="A59" s="15" t="s">
        <v>401</v>
      </c>
      <c r="B59" s="17" t="n">
        <v>2548</v>
      </c>
      <c r="C59" s="18">
        <f>(2102.0/B59*100)</f>
        <v/>
      </c>
      <c r="D59" s="19" t="n">
        <v>446</v>
      </c>
      <c r="E59" s="18" t="n">
        <v>78.20476076</v>
      </c>
      <c r="F59" s="20" t="n">
        <v>2.41454961</v>
      </c>
      <c r="G59" s="18" t="n">
        <v>1.22769728</v>
      </c>
      <c r="H59" s="20" t="n">
        <v>0.41523539</v>
      </c>
      <c r="I59" s="18" t="s">
        <v>349</v>
      </c>
      <c r="J59" s="20" t="s">
        <v>349</v>
      </c>
      <c r="K59" s="18" t="n">
        <v>0.91014865</v>
      </c>
      <c r="L59" s="20" t="n">
        <v>0.46631544</v>
      </c>
      <c r="M59" s="18" t="n">
        <v>0</v>
      </c>
      <c r="N59" s="20" t="n">
        <v>0</v>
      </c>
      <c r="O59" s="18" t="n">
        <v>0</v>
      </c>
      <c r="P59" s="20" t="n">
        <v>0</v>
      </c>
      <c r="Q59" s="18" t="n">
        <v>19.65739331</v>
      </c>
      <c r="R59" s="20" t="n">
        <v>2.34149853</v>
      </c>
    </row>
    <row r="60" spans="1:18">
      <c r="A60" s="15" t="s">
        <v>402</v>
      </c>
      <c r="B60" s="17" t="n">
        <v>2095</v>
      </c>
      <c r="C60" s="18">
        <f>(1741.0/B60*100)</f>
        <v/>
      </c>
      <c r="D60" s="19" t="n">
        <v>354</v>
      </c>
      <c r="E60" s="18" t="n">
        <v>69.03222151</v>
      </c>
      <c r="F60" s="20" t="n">
        <v>2.94810143</v>
      </c>
      <c r="G60" s="18" t="n">
        <v>3.95250045</v>
      </c>
      <c r="H60" s="20" t="n">
        <v>1.34730663</v>
      </c>
      <c r="I60" s="18" t="s">
        <v>349</v>
      </c>
      <c r="J60" s="20" t="s">
        <v>349</v>
      </c>
      <c r="K60" s="18" t="n">
        <v>5.21156349</v>
      </c>
      <c r="L60" s="20" t="n">
        <v>1.18505248</v>
      </c>
      <c r="M60" s="18" t="n">
        <v>0</v>
      </c>
      <c r="N60" s="20" t="n">
        <v>0</v>
      </c>
      <c r="O60" s="18" t="n">
        <v>0</v>
      </c>
      <c r="P60" s="20" t="n">
        <v>0</v>
      </c>
      <c r="Q60" s="18" t="n">
        <v>21.80371455</v>
      </c>
      <c r="R60" s="20" t="n">
        <v>2.48570205</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56.52726499</v>
      </c>
      <c r="F63" s="20" t="n">
        <v>2.42681709</v>
      </c>
      <c r="G63" s="18" t="n">
        <v>3.90126126</v>
      </c>
      <c r="H63" s="20" t="n">
        <v>1.17008263</v>
      </c>
      <c r="I63" s="18" t="s">
        <v>349</v>
      </c>
      <c r="J63" s="20" t="s">
        <v>349</v>
      </c>
      <c r="K63" s="18" t="n">
        <v>5.83128978</v>
      </c>
      <c r="L63" s="20" t="n">
        <v>1.22460872</v>
      </c>
      <c r="M63" s="18" t="n">
        <v>0</v>
      </c>
      <c r="N63" s="20" t="n">
        <v>0</v>
      </c>
      <c r="O63" s="18" t="n">
        <v>0</v>
      </c>
      <c r="P63" s="20" t="n">
        <v>0</v>
      </c>
      <c r="Q63" s="18" t="n">
        <v>33.74018397</v>
      </c>
      <c r="R63" s="20" t="n">
        <v>2.20149337</v>
      </c>
    </row>
    <row r="64" spans="1:18">
      <c r="A64" s="15" t="s">
        <v>406</v>
      </c>
      <c r="B64" s="17" t="n">
        <v>1844</v>
      </c>
      <c r="C64" s="18">
        <f>(1531.0/B64*100)</f>
        <v/>
      </c>
      <c r="D64" s="19" t="n">
        <v>313</v>
      </c>
      <c r="E64" s="18" t="n">
        <v>79.14340077999999</v>
      </c>
      <c r="F64" s="20" t="n">
        <v>2.09004806</v>
      </c>
      <c r="G64" s="18" t="n">
        <v>5.66474969</v>
      </c>
      <c r="H64" s="20" t="n">
        <v>1.25257482</v>
      </c>
      <c r="I64" s="18" t="s">
        <v>349</v>
      </c>
      <c r="J64" s="20" t="s">
        <v>349</v>
      </c>
      <c r="K64" s="18" t="n">
        <v>3.88626104</v>
      </c>
      <c r="L64" s="20" t="n">
        <v>1.1212581</v>
      </c>
      <c r="M64" s="18" t="n">
        <v>0</v>
      </c>
      <c r="N64" s="20" t="n">
        <v>0</v>
      </c>
      <c r="O64" s="18" t="n">
        <v>0</v>
      </c>
      <c r="P64" s="20" t="n">
        <v>0</v>
      </c>
      <c r="Q64" s="18" t="n">
        <v>11.30558849</v>
      </c>
      <c r="R64" s="20" t="n">
        <v>1.72466196</v>
      </c>
    </row>
    <row r="65" spans="1:18">
      <c r="A65" s="15" t="s">
        <v>407</v>
      </c>
      <c r="B65" s="17" t="n">
        <v>2691</v>
      </c>
      <c r="C65" s="18">
        <f>(2249.0/B65*100)</f>
        <v/>
      </c>
      <c r="D65" s="19" t="n">
        <v>442</v>
      </c>
      <c r="E65" s="18" t="n">
        <v>66.24000626999999</v>
      </c>
      <c r="F65" s="20" t="n">
        <v>2.48537518</v>
      </c>
      <c r="G65" s="18" t="n">
        <v>3.30926495</v>
      </c>
      <c r="H65" s="20" t="n">
        <v>0.80348252</v>
      </c>
      <c r="I65" s="18" t="s">
        <v>349</v>
      </c>
      <c r="J65" s="20" t="s">
        <v>349</v>
      </c>
      <c r="K65" s="18" t="n">
        <v>7.32639392</v>
      </c>
      <c r="L65" s="20" t="n">
        <v>1.08795304</v>
      </c>
      <c r="M65" s="18" t="n">
        <v>0</v>
      </c>
      <c r="N65" s="20" t="n">
        <v>0</v>
      </c>
      <c r="O65" s="18" t="n">
        <v>0</v>
      </c>
      <c r="P65" s="20" t="n">
        <v>0</v>
      </c>
      <c r="Q65" s="18" t="n">
        <v>23.12433487</v>
      </c>
      <c r="R65" s="20" t="n">
        <v>2.3225275</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86.44740283</v>
      </c>
      <c r="F69" s="20" t="n">
        <v>1.50247485</v>
      </c>
      <c r="G69" s="18" t="n">
        <v>13.30241544</v>
      </c>
      <c r="H69" s="20" t="n">
        <v>1.51369426</v>
      </c>
      <c r="I69" s="18" t="s">
        <v>349</v>
      </c>
      <c r="J69" s="20" t="s">
        <v>349</v>
      </c>
      <c r="K69" s="18" t="n">
        <v>0</v>
      </c>
      <c r="L69" s="20" t="n">
        <v>0</v>
      </c>
      <c r="M69" s="18" t="n">
        <v>0</v>
      </c>
      <c r="N69" s="20" t="n">
        <v>0</v>
      </c>
      <c r="O69" s="18" t="n">
        <v>0</v>
      </c>
      <c r="P69" s="20" t="n">
        <v>0</v>
      </c>
      <c r="Q69" s="18" t="n">
        <v>0.25018173</v>
      </c>
      <c r="R69" s="20" t="n">
        <v>0.2499664</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73.79020208999999</v>
      </c>
      <c r="F74" s="20" t="n">
        <v>2.34751264</v>
      </c>
      <c r="G74" s="18" t="n">
        <v>1.35045911</v>
      </c>
      <c r="H74" s="20" t="n">
        <v>0.53006125</v>
      </c>
      <c r="I74" s="18" t="s">
        <v>349</v>
      </c>
      <c r="J74" s="20" t="s">
        <v>349</v>
      </c>
      <c r="K74" s="18" t="n">
        <v>8.62269933</v>
      </c>
      <c r="L74" s="20" t="n">
        <v>1.83319641</v>
      </c>
      <c r="M74" s="18" t="n">
        <v>0</v>
      </c>
      <c r="N74" s="20" t="n">
        <v>0</v>
      </c>
      <c r="O74" s="18" t="n">
        <v>0</v>
      </c>
      <c r="P74" s="20" t="n">
        <v>0</v>
      </c>
      <c r="Q74" s="18" t="n">
        <v>16.23663947</v>
      </c>
      <c r="R74" s="20" t="n">
        <v>2.03760286</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93.39345169000001</v>
      </c>
      <c r="F78" s="20" t="n">
        <v>1.50547072</v>
      </c>
      <c r="G78" s="18" t="n">
        <v>4.49896694</v>
      </c>
      <c r="H78" s="20" t="n">
        <v>1.05755035</v>
      </c>
      <c r="I78" s="18" t="s">
        <v>349</v>
      </c>
      <c r="J78" s="20" t="s">
        <v>349</v>
      </c>
      <c r="K78" s="18" t="n">
        <v>0</v>
      </c>
      <c r="L78" s="20" t="n">
        <v>0</v>
      </c>
      <c r="M78" s="18" t="n">
        <v>0</v>
      </c>
      <c r="N78" s="20" t="n">
        <v>0</v>
      </c>
      <c r="O78" s="18" t="n">
        <v>0</v>
      </c>
      <c r="P78" s="20" t="n">
        <v>0</v>
      </c>
      <c r="Q78" s="18" t="n">
        <v>2.10758137</v>
      </c>
      <c r="R78" s="20" t="n">
        <v>0.84209152</v>
      </c>
    </row>
    <row customHeight="1" ht="25" r="79" spans="1:18">
      <c r="A79" s="15" t="s">
        <v>421</v>
      </c>
      <c r="B79" s="17" t="n">
        <v>787</v>
      </c>
      <c r="C79" s="18">
        <f>(653.0/B79*100)</f>
        <v/>
      </c>
      <c r="D79" s="19" t="n">
        <v>134</v>
      </c>
      <c r="E79" s="18" t="n">
        <v>74.62441643</v>
      </c>
      <c r="F79" s="20" t="n">
        <v>3.56482738</v>
      </c>
      <c r="G79" s="18" t="n">
        <v>2.53132577</v>
      </c>
      <c r="H79" s="20" t="n">
        <v>1.39535065</v>
      </c>
      <c r="I79" s="18" t="s">
        <v>349</v>
      </c>
      <c r="J79" s="20" t="s">
        <v>349</v>
      </c>
      <c r="K79" s="18" t="n">
        <v>5.46443679</v>
      </c>
      <c r="L79" s="20" t="n">
        <v>2.06923967</v>
      </c>
      <c r="M79" s="18" t="n">
        <v>0</v>
      </c>
      <c r="N79" s="20" t="n">
        <v>0</v>
      </c>
      <c r="O79" s="18" t="n">
        <v>0</v>
      </c>
      <c r="P79" s="20" t="n">
        <v>0</v>
      </c>
      <c r="Q79" s="18" t="n">
        <v>17.37982101</v>
      </c>
      <c r="R79" s="20" t="n">
        <v>2.94878987</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32.44297788</v>
      </c>
      <c r="F44" s="20" t="n">
        <v>2.4980868</v>
      </c>
      <c r="G44" s="18" t="n">
        <v>54.40051962</v>
      </c>
      <c r="H44" s="20" t="n">
        <v>2.72489017</v>
      </c>
      <c r="I44" s="18" t="s">
        <v>349</v>
      </c>
      <c r="J44" s="20" t="s">
        <v>349</v>
      </c>
      <c r="K44" s="18" t="n">
        <v>4.61166177</v>
      </c>
      <c r="L44" s="20" t="n">
        <v>0.84524406</v>
      </c>
      <c r="M44" s="18" t="n">
        <v>0</v>
      </c>
      <c r="N44" s="20" t="n">
        <v>0</v>
      </c>
      <c r="O44" s="18" t="n">
        <v>0</v>
      </c>
      <c r="P44" s="20" t="n">
        <v>0</v>
      </c>
      <c r="Q44" s="18" t="n">
        <v>8.544840730000001</v>
      </c>
      <c r="R44" s="20" t="n">
        <v>1.42081369</v>
      </c>
    </row>
    <row r="45" spans="1:18">
      <c r="A45" s="15" t="s">
        <v>387</v>
      </c>
      <c r="B45" s="17" t="n">
        <v>2849</v>
      </c>
      <c r="C45" s="18">
        <f>(2366.0/B45*100)</f>
        <v/>
      </c>
      <c r="D45" s="19" t="n">
        <v>483</v>
      </c>
      <c r="E45" s="18" t="n">
        <v>51.57835478</v>
      </c>
      <c r="F45" s="20" t="n">
        <v>2.28977397</v>
      </c>
      <c r="G45" s="18" t="n">
        <v>31.53879403</v>
      </c>
      <c r="H45" s="20" t="n">
        <v>2.29924819</v>
      </c>
      <c r="I45" s="18" t="s">
        <v>349</v>
      </c>
      <c r="J45" s="20" t="s">
        <v>349</v>
      </c>
      <c r="K45" s="18" t="n">
        <v>6.66621212</v>
      </c>
      <c r="L45" s="20" t="n">
        <v>1.15631445</v>
      </c>
      <c r="M45" s="18" t="n">
        <v>0.16054471</v>
      </c>
      <c r="N45" s="20" t="n">
        <v>0.16212818</v>
      </c>
      <c r="O45" s="18" t="n">
        <v>0.5194218</v>
      </c>
      <c r="P45" s="20" t="n">
        <v>0.38331427</v>
      </c>
      <c r="Q45" s="18" t="n">
        <v>9.53667256</v>
      </c>
      <c r="R45" s="20" t="n">
        <v>1.52701553</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38.4939565</v>
      </c>
      <c r="F49" s="20" t="n">
        <v>2.8720778</v>
      </c>
      <c r="G49" s="18" t="n">
        <v>51.24627558</v>
      </c>
      <c r="H49" s="20" t="n">
        <v>3.09484653</v>
      </c>
      <c r="I49" s="18" t="s">
        <v>349</v>
      </c>
      <c r="J49" s="20" t="s">
        <v>349</v>
      </c>
      <c r="K49" s="18" t="n">
        <v>2.44802033</v>
      </c>
      <c r="L49" s="20" t="n">
        <v>0.61747405</v>
      </c>
      <c r="M49" s="18" t="n">
        <v>0.27941586</v>
      </c>
      <c r="N49" s="20" t="n">
        <v>0.2937576</v>
      </c>
      <c r="O49" s="18" t="n">
        <v>0</v>
      </c>
      <c r="P49" s="20" t="n">
        <v>0</v>
      </c>
      <c r="Q49" s="18" t="n">
        <v>7.53233173</v>
      </c>
      <c r="R49" s="20" t="n">
        <v>1.55695588</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29.12065529</v>
      </c>
      <c r="F55" s="20" t="n">
        <v>2.45460113</v>
      </c>
      <c r="G55" s="18" t="n">
        <v>54.22508841</v>
      </c>
      <c r="H55" s="20" t="n">
        <v>2.28433974</v>
      </c>
      <c r="I55" s="18" t="s">
        <v>349</v>
      </c>
      <c r="J55" s="20" t="s">
        <v>349</v>
      </c>
      <c r="K55" s="18" t="n">
        <v>3.42153564</v>
      </c>
      <c r="L55" s="20" t="n">
        <v>0.84549816</v>
      </c>
      <c r="M55" s="18" t="n">
        <v>0</v>
      </c>
      <c r="N55" s="20" t="n">
        <v>0</v>
      </c>
      <c r="O55" s="18" t="n">
        <v>0.19607994</v>
      </c>
      <c r="P55" s="20" t="n">
        <v>0.20979086</v>
      </c>
      <c r="Q55" s="18" t="n">
        <v>13.03664073</v>
      </c>
      <c r="R55" s="20" t="n">
        <v>1.78199595</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41.51568041</v>
      </c>
      <c r="F57" s="20" t="n">
        <v>2.12454248</v>
      </c>
      <c r="G57" s="18" t="n">
        <v>55.09301837</v>
      </c>
      <c r="H57" s="20" t="n">
        <v>2.16700888</v>
      </c>
      <c r="I57" s="18" t="s">
        <v>349</v>
      </c>
      <c r="J57" s="20" t="s">
        <v>349</v>
      </c>
      <c r="K57" s="18" t="n">
        <v>1.00198962</v>
      </c>
      <c r="L57" s="20" t="n">
        <v>0.47975264</v>
      </c>
      <c r="M57" s="18" t="n">
        <v>0</v>
      </c>
      <c r="N57" s="20" t="n">
        <v>0</v>
      </c>
      <c r="O57" s="18" t="n">
        <v>0</v>
      </c>
      <c r="P57" s="20" t="n">
        <v>0</v>
      </c>
      <c r="Q57" s="18" t="n">
        <v>2.3893116</v>
      </c>
      <c r="R57" s="20" t="n">
        <v>0.7727742</v>
      </c>
    </row>
    <row r="58" spans="1:18">
      <c r="A58" s="15" t="s">
        <v>400</v>
      </c>
      <c r="B58" s="17" t="n">
        <v>3530</v>
      </c>
      <c r="C58" s="18">
        <f>(2946.0/B58*100)</f>
        <v/>
      </c>
      <c r="D58" s="19" t="n">
        <v>584</v>
      </c>
      <c r="E58" s="18" t="n">
        <v>52.188347</v>
      </c>
      <c r="F58" s="20" t="n">
        <v>2.46498796</v>
      </c>
      <c r="G58" s="18" t="n">
        <v>34.3658615</v>
      </c>
      <c r="H58" s="20" t="n">
        <v>2.66866814</v>
      </c>
      <c r="I58" s="18" t="s">
        <v>349</v>
      </c>
      <c r="J58" s="20" t="s">
        <v>349</v>
      </c>
      <c r="K58" s="18" t="n">
        <v>4.60631637</v>
      </c>
      <c r="L58" s="20" t="n">
        <v>1.01822849</v>
      </c>
      <c r="M58" s="18" t="n">
        <v>0</v>
      </c>
      <c r="N58" s="20" t="n">
        <v>0</v>
      </c>
      <c r="O58" s="18" t="n">
        <v>0</v>
      </c>
      <c r="P58" s="20" t="n">
        <v>0</v>
      </c>
      <c r="Q58" s="18" t="n">
        <v>8.83947513</v>
      </c>
      <c r="R58" s="20" t="n">
        <v>1.2939047</v>
      </c>
    </row>
    <row r="59" spans="1:18">
      <c r="A59" s="15" t="s">
        <v>401</v>
      </c>
      <c r="B59" s="17" t="n">
        <v>2548</v>
      </c>
      <c r="C59" s="18">
        <f>(2102.0/B59*100)</f>
        <v/>
      </c>
      <c r="D59" s="19" t="n">
        <v>446</v>
      </c>
      <c r="E59" s="18" t="n">
        <v>49.71254292</v>
      </c>
      <c r="F59" s="20" t="n">
        <v>2.70774807</v>
      </c>
      <c r="G59" s="18" t="n">
        <v>41.49432375</v>
      </c>
      <c r="H59" s="20" t="n">
        <v>2.68908181</v>
      </c>
      <c r="I59" s="18" t="s">
        <v>349</v>
      </c>
      <c r="J59" s="20" t="s">
        <v>349</v>
      </c>
      <c r="K59" s="18" t="n">
        <v>1.12303312</v>
      </c>
      <c r="L59" s="20" t="n">
        <v>0.48761002</v>
      </c>
      <c r="M59" s="18" t="n">
        <v>0</v>
      </c>
      <c r="N59" s="20" t="n">
        <v>0</v>
      </c>
      <c r="O59" s="18" t="n">
        <v>0</v>
      </c>
      <c r="P59" s="20" t="n">
        <v>0</v>
      </c>
      <c r="Q59" s="18" t="n">
        <v>7.67010021</v>
      </c>
      <c r="R59" s="20" t="n">
        <v>1.35560887</v>
      </c>
    </row>
    <row r="60" spans="1:18">
      <c r="A60" s="15" t="s">
        <v>402</v>
      </c>
      <c r="B60" s="17" t="n">
        <v>2095</v>
      </c>
      <c r="C60" s="18">
        <f>(1741.0/B60*100)</f>
        <v/>
      </c>
      <c r="D60" s="19" t="n">
        <v>354</v>
      </c>
      <c r="E60" s="18" t="n">
        <v>39.28656722</v>
      </c>
      <c r="F60" s="20" t="n">
        <v>2.64289753</v>
      </c>
      <c r="G60" s="18" t="n">
        <v>41.42362485</v>
      </c>
      <c r="H60" s="20" t="n">
        <v>3.27609498</v>
      </c>
      <c r="I60" s="18" t="s">
        <v>349</v>
      </c>
      <c r="J60" s="20" t="s">
        <v>349</v>
      </c>
      <c r="K60" s="18" t="n">
        <v>6.31033565</v>
      </c>
      <c r="L60" s="20" t="n">
        <v>1.33897127</v>
      </c>
      <c r="M60" s="18" t="n">
        <v>0</v>
      </c>
      <c r="N60" s="20" t="n">
        <v>0</v>
      </c>
      <c r="O60" s="18" t="n">
        <v>0</v>
      </c>
      <c r="P60" s="20" t="n">
        <v>0</v>
      </c>
      <c r="Q60" s="18" t="n">
        <v>12.97947228</v>
      </c>
      <c r="R60" s="20" t="n">
        <v>2.05691907</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33.06648496</v>
      </c>
      <c r="F63" s="20" t="n">
        <v>2.35075483</v>
      </c>
      <c r="G63" s="18" t="n">
        <v>41.18614929</v>
      </c>
      <c r="H63" s="20" t="n">
        <v>2.05278692</v>
      </c>
      <c r="I63" s="18" t="s">
        <v>349</v>
      </c>
      <c r="J63" s="20" t="s">
        <v>349</v>
      </c>
      <c r="K63" s="18" t="n">
        <v>6.59417784</v>
      </c>
      <c r="L63" s="20" t="n">
        <v>1.25483054</v>
      </c>
      <c r="M63" s="18" t="n">
        <v>0</v>
      </c>
      <c r="N63" s="20" t="n">
        <v>0</v>
      </c>
      <c r="O63" s="18" t="n">
        <v>0</v>
      </c>
      <c r="P63" s="20" t="n">
        <v>0</v>
      </c>
      <c r="Q63" s="18" t="n">
        <v>19.15318791</v>
      </c>
      <c r="R63" s="20" t="n">
        <v>1.85494241</v>
      </c>
    </row>
    <row r="64" spans="1:18">
      <c r="A64" s="15" t="s">
        <v>406</v>
      </c>
      <c r="B64" s="17" t="n">
        <v>1844</v>
      </c>
      <c r="C64" s="18">
        <f>(1531.0/B64*100)</f>
        <v/>
      </c>
      <c r="D64" s="19" t="n">
        <v>313</v>
      </c>
      <c r="E64" s="18" t="n">
        <v>20.74076063</v>
      </c>
      <c r="F64" s="20" t="n">
        <v>2.42173666</v>
      </c>
      <c r="G64" s="18" t="n">
        <v>66.10084189</v>
      </c>
      <c r="H64" s="20" t="n">
        <v>2.7719517</v>
      </c>
      <c r="I64" s="18" t="s">
        <v>349</v>
      </c>
      <c r="J64" s="20" t="s">
        <v>349</v>
      </c>
      <c r="K64" s="18" t="n">
        <v>4.83388915</v>
      </c>
      <c r="L64" s="20" t="n">
        <v>1.2320931</v>
      </c>
      <c r="M64" s="18" t="n">
        <v>0</v>
      </c>
      <c r="N64" s="20" t="n">
        <v>0</v>
      </c>
      <c r="O64" s="18" t="n">
        <v>0</v>
      </c>
      <c r="P64" s="20" t="n">
        <v>0</v>
      </c>
      <c r="Q64" s="18" t="n">
        <v>8.32450834</v>
      </c>
      <c r="R64" s="20" t="n">
        <v>1.53533181</v>
      </c>
    </row>
    <row r="65" spans="1:18">
      <c r="A65" s="15" t="s">
        <v>407</v>
      </c>
      <c r="B65" s="17" t="n">
        <v>2691</v>
      </c>
      <c r="C65" s="18">
        <f>(2249.0/B65*100)</f>
        <v/>
      </c>
      <c r="D65" s="19" t="n">
        <v>442</v>
      </c>
      <c r="E65" s="18" t="n">
        <v>31.3905066</v>
      </c>
      <c r="F65" s="20" t="n">
        <v>2.25403973</v>
      </c>
      <c r="G65" s="18" t="n">
        <v>49.22243552</v>
      </c>
      <c r="H65" s="20" t="n">
        <v>2.15023128</v>
      </c>
      <c r="I65" s="18" t="s">
        <v>349</v>
      </c>
      <c r="J65" s="20" t="s">
        <v>349</v>
      </c>
      <c r="K65" s="18" t="n">
        <v>8.83505212</v>
      </c>
      <c r="L65" s="20" t="n">
        <v>1.27748352</v>
      </c>
      <c r="M65" s="18" t="n">
        <v>0</v>
      </c>
      <c r="N65" s="20" t="n">
        <v>0</v>
      </c>
      <c r="O65" s="18" t="n">
        <v>0</v>
      </c>
      <c r="P65" s="20" t="n">
        <v>0</v>
      </c>
      <c r="Q65" s="18" t="n">
        <v>10.55200576</v>
      </c>
      <c r="R65" s="20" t="n">
        <v>1.3270067</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45.84052745</v>
      </c>
      <c r="F69" s="20" t="n">
        <v>2.46177957</v>
      </c>
      <c r="G69" s="18" t="n">
        <v>54.15947255</v>
      </c>
      <c r="H69" s="20" t="n">
        <v>2.46177957</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36.39593065</v>
      </c>
      <c r="F74" s="20" t="n">
        <v>2.49566159</v>
      </c>
      <c r="G74" s="18" t="n">
        <v>43.76970172</v>
      </c>
      <c r="H74" s="20" t="n">
        <v>2.69126329</v>
      </c>
      <c r="I74" s="18" t="s">
        <v>349</v>
      </c>
      <c r="J74" s="20" t="s">
        <v>349</v>
      </c>
      <c r="K74" s="18" t="n">
        <v>9.82123872</v>
      </c>
      <c r="L74" s="20" t="n">
        <v>1.91305149</v>
      </c>
      <c r="M74" s="18" t="n">
        <v>0</v>
      </c>
      <c r="N74" s="20" t="n">
        <v>0</v>
      </c>
      <c r="O74" s="18" t="n">
        <v>0</v>
      </c>
      <c r="P74" s="20" t="n">
        <v>0</v>
      </c>
      <c r="Q74" s="18" t="n">
        <v>10.01312892</v>
      </c>
      <c r="R74" s="20" t="n">
        <v>1.73240064</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37.97883042</v>
      </c>
      <c r="F78" s="20" t="n">
        <v>2.36875487</v>
      </c>
      <c r="G78" s="18" t="n">
        <v>61.38047612</v>
      </c>
      <c r="H78" s="20" t="n">
        <v>2.41502183</v>
      </c>
      <c r="I78" s="18" t="s">
        <v>349</v>
      </c>
      <c r="J78" s="20" t="s">
        <v>349</v>
      </c>
      <c r="K78" s="18" t="n">
        <v>0</v>
      </c>
      <c r="L78" s="20" t="n">
        <v>0</v>
      </c>
      <c r="M78" s="18" t="n">
        <v>0</v>
      </c>
      <c r="N78" s="20" t="n">
        <v>0</v>
      </c>
      <c r="O78" s="18" t="n">
        <v>0</v>
      </c>
      <c r="P78" s="20" t="n">
        <v>0</v>
      </c>
      <c r="Q78" s="18" t="n">
        <v>0.64069346</v>
      </c>
      <c r="R78" s="20" t="n">
        <v>0.40451916</v>
      </c>
    </row>
    <row customHeight="1" ht="25" r="79" spans="1:18">
      <c r="A79" s="15" t="s">
        <v>421</v>
      </c>
      <c r="B79" s="17" t="n">
        <v>787</v>
      </c>
      <c r="C79" s="18">
        <f>(653.0/B79*100)</f>
        <v/>
      </c>
      <c r="D79" s="19" t="n">
        <v>134</v>
      </c>
      <c r="E79" s="18" t="n">
        <v>22.44001749</v>
      </c>
      <c r="F79" s="20" t="n">
        <v>3.54967683</v>
      </c>
      <c r="G79" s="18" t="n">
        <v>64.98219841</v>
      </c>
      <c r="H79" s="20" t="n">
        <v>5.27672306</v>
      </c>
      <c r="I79" s="18" t="s">
        <v>349</v>
      </c>
      <c r="J79" s="20" t="s">
        <v>349</v>
      </c>
      <c r="K79" s="18" t="n">
        <v>5.46443679</v>
      </c>
      <c r="L79" s="20" t="n">
        <v>2.06923967</v>
      </c>
      <c r="M79" s="18" t="n">
        <v>0</v>
      </c>
      <c r="N79" s="20" t="n">
        <v>0</v>
      </c>
      <c r="O79" s="18" t="n">
        <v>0</v>
      </c>
      <c r="P79" s="20" t="n">
        <v>0</v>
      </c>
      <c r="Q79" s="18" t="n">
        <v>7.11334731</v>
      </c>
      <c r="R79" s="20" t="n">
        <v>2.5065268</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56.77410241</v>
      </c>
      <c r="F44" s="20" t="n">
        <v>2.6878809</v>
      </c>
      <c r="G44" s="18" t="n">
        <v>13.45018299</v>
      </c>
      <c r="H44" s="20" t="n">
        <v>1.68265925</v>
      </c>
      <c r="I44" s="18" t="s">
        <v>349</v>
      </c>
      <c r="J44" s="20" t="s">
        <v>349</v>
      </c>
      <c r="K44" s="18" t="n">
        <v>6.28662436</v>
      </c>
      <c r="L44" s="20" t="n">
        <v>1.37624576</v>
      </c>
      <c r="M44" s="18" t="n">
        <v>0</v>
      </c>
      <c r="N44" s="20" t="n">
        <v>0</v>
      </c>
      <c r="O44" s="18" t="n">
        <v>0.31761171</v>
      </c>
      <c r="P44" s="20" t="n">
        <v>0.31721237</v>
      </c>
      <c r="Q44" s="18" t="n">
        <v>23.17147854</v>
      </c>
      <c r="R44" s="20" t="n">
        <v>2.02939074</v>
      </c>
    </row>
    <row r="45" spans="1:18">
      <c r="A45" s="15" t="s">
        <v>387</v>
      </c>
      <c r="B45" s="17" t="n">
        <v>2849</v>
      </c>
      <c r="C45" s="18">
        <f>(2366.0/B45*100)</f>
        <v/>
      </c>
      <c r="D45" s="19" t="n">
        <v>483</v>
      </c>
      <c r="E45" s="18" t="n">
        <v>52.5049895</v>
      </c>
      <c r="F45" s="20" t="n">
        <v>2.52542224</v>
      </c>
      <c r="G45" s="18" t="n">
        <v>17.9281306</v>
      </c>
      <c r="H45" s="20" t="n">
        <v>2.37382254</v>
      </c>
      <c r="I45" s="18" t="s">
        <v>349</v>
      </c>
      <c r="J45" s="20" t="s">
        <v>349</v>
      </c>
      <c r="K45" s="18" t="n">
        <v>8.00299253</v>
      </c>
      <c r="L45" s="20" t="n">
        <v>1.35479404</v>
      </c>
      <c r="M45" s="18" t="n">
        <v>0.211984</v>
      </c>
      <c r="N45" s="20" t="n">
        <v>0.21499175</v>
      </c>
      <c r="O45" s="18" t="n">
        <v>0.22722208</v>
      </c>
      <c r="P45" s="20" t="n">
        <v>0.23347223</v>
      </c>
      <c r="Q45" s="18" t="n">
        <v>21.12468128</v>
      </c>
      <c r="R45" s="20" t="n">
        <v>2.04111019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63.2721524</v>
      </c>
      <c r="F49" s="20" t="n">
        <v>2.48382712</v>
      </c>
      <c r="G49" s="18" t="n">
        <v>11.90582282</v>
      </c>
      <c r="H49" s="20" t="n">
        <v>1.57584856</v>
      </c>
      <c r="I49" s="18" t="s">
        <v>349</v>
      </c>
      <c r="J49" s="20" t="s">
        <v>349</v>
      </c>
      <c r="K49" s="18" t="n">
        <v>3.3042748</v>
      </c>
      <c r="L49" s="20" t="n">
        <v>0.75770551</v>
      </c>
      <c r="M49" s="18" t="n">
        <v>0.27941586</v>
      </c>
      <c r="N49" s="20" t="n">
        <v>0.2937576</v>
      </c>
      <c r="O49" s="18" t="n">
        <v>0</v>
      </c>
      <c r="P49" s="20" t="n">
        <v>0</v>
      </c>
      <c r="Q49" s="18" t="n">
        <v>21.23833413</v>
      </c>
      <c r="R49" s="20" t="n">
        <v>2.28889552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33.10205645</v>
      </c>
      <c r="F55" s="20" t="n">
        <v>1.92255329</v>
      </c>
      <c r="G55" s="18" t="n">
        <v>25.14706175</v>
      </c>
      <c r="H55" s="20" t="n">
        <v>2.04921881</v>
      </c>
      <c r="I55" s="18" t="s">
        <v>349</v>
      </c>
      <c r="J55" s="20" t="s">
        <v>349</v>
      </c>
      <c r="K55" s="18" t="n">
        <v>4.41351611</v>
      </c>
      <c r="L55" s="20" t="n">
        <v>0.92419353</v>
      </c>
      <c r="M55" s="18" t="n">
        <v>0</v>
      </c>
      <c r="N55" s="20" t="n">
        <v>0</v>
      </c>
      <c r="O55" s="18" t="n">
        <v>0.39873379</v>
      </c>
      <c r="P55" s="20" t="n">
        <v>0.26941555</v>
      </c>
      <c r="Q55" s="18" t="n">
        <v>36.9386319</v>
      </c>
      <c r="R55" s="20" t="n">
        <v>2.31276665</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76.42103981</v>
      </c>
      <c r="F57" s="20" t="n">
        <v>1.7219066</v>
      </c>
      <c r="G57" s="18" t="n">
        <v>14.30352889</v>
      </c>
      <c r="H57" s="20" t="n">
        <v>1.33056847</v>
      </c>
      <c r="I57" s="18" t="s">
        <v>349</v>
      </c>
      <c r="J57" s="20" t="s">
        <v>349</v>
      </c>
      <c r="K57" s="18" t="n">
        <v>1.00198962</v>
      </c>
      <c r="L57" s="20" t="n">
        <v>0.47975264</v>
      </c>
      <c r="M57" s="18" t="n">
        <v>0</v>
      </c>
      <c r="N57" s="20" t="n">
        <v>0</v>
      </c>
      <c r="O57" s="18" t="n">
        <v>0</v>
      </c>
      <c r="P57" s="20" t="n">
        <v>0</v>
      </c>
      <c r="Q57" s="18" t="n">
        <v>8.273441679999999</v>
      </c>
      <c r="R57" s="20" t="n">
        <v>1.36146092</v>
      </c>
    </row>
    <row r="58" spans="1:18">
      <c r="A58" s="15" t="s">
        <v>400</v>
      </c>
      <c r="B58" s="17" t="n">
        <v>3530</v>
      </c>
      <c r="C58" s="18">
        <f>(2946.0/B58*100)</f>
        <v/>
      </c>
      <c r="D58" s="19" t="n">
        <v>584</v>
      </c>
      <c r="E58" s="18" t="n">
        <v>58.67822434</v>
      </c>
      <c r="F58" s="20" t="n">
        <v>2.53977018</v>
      </c>
      <c r="G58" s="18" t="n">
        <v>15.07206467</v>
      </c>
      <c r="H58" s="20" t="n">
        <v>1.92950445</v>
      </c>
      <c r="I58" s="18" t="s">
        <v>349</v>
      </c>
      <c r="J58" s="20" t="s">
        <v>349</v>
      </c>
      <c r="K58" s="18" t="n">
        <v>5.19625916</v>
      </c>
      <c r="L58" s="20" t="n">
        <v>1.11509124</v>
      </c>
      <c r="M58" s="18" t="n">
        <v>0</v>
      </c>
      <c r="N58" s="20" t="n">
        <v>0</v>
      </c>
      <c r="O58" s="18" t="n">
        <v>0</v>
      </c>
      <c r="P58" s="20" t="n">
        <v>0</v>
      </c>
      <c r="Q58" s="18" t="n">
        <v>21.05345184</v>
      </c>
      <c r="R58" s="20" t="n">
        <v>2.15822232</v>
      </c>
    </row>
    <row r="59" spans="1:18">
      <c r="A59" s="15" t="s">
        <v>401</v>
      </c>
      <c r="B59" s="17" t="n">
        <v>2548</v>
      </c>
      <c r="C59" s="18">
        <f>(2102.0/B59*100)</f>
        <v/>
      </c>
      <c r="D59" s="19" t="n">
        <v>446</v>
      </c>
      <c r="E59" s="18" t="n">
        <v>61.20870246</v>
      </c>
      <c r="F59" s="20" t="n">
        <v>3.25484554</v>
      </c>
      <c r="G59" s="18" t="n">
        <v>17.99046577</v>
      </c>
      <c r="H59" s="20" t="n">
        <v>2.48407665</v>
      </c>
      <c r="I59" s="18" t="s">
        <v>349</v>
      </c>
      <c r="J59" s="20" t="s">
        <v>349</v>
      </c>
      <c r="K59" s="18" t="n">
        <v>1.76668398</v>
      </c>
      <c r="L59" s="20" t="n">
        <v>0.58121049</v>
      </c>
      <c r="M59" s="18" t="n">
        <v>0</v>
      </c>
      <c r="N59" s="20" t="n">
        <v>0</v>
      </c>
      <c r="O59" s="18" t="n">
        <v>0.09330848</v>
      </c>
      <c r="P59" s="20" t="n">
        <v>0.08866855999999999</v>
      </c>
      <c r="Q59" s="18" t="n">
        <v>18.94083931</v>
      </c>
      <c r="R59" s="20" t="n">
        <v>2.19402506</v>
      </c>
    </row>
    <row r="60" spans="1:18">
      <c r="A60" s="15" t="s">
        <v>402</v>
      </c>
      <c r="B60" s="17" t="n">
        <v>2095</v>
      </c>
      <c r="C60" s="18">
        <f>(1741.0/B60*100)</f>
        <v/>
      </c>
      <c r="D60" s="19" t="n">
        <v>354</v>
      </c>
      <c r="E60" s="18" t="n">
        <v>40.8470002</v>
      </c>
      <c r="F60" s="20" t="n">
        <v>3.00924645</v>
      </c>
      <c r="G60" s="18" t="n">
        <v>26.1875538</v>
      </c>
      <c r="H60" s="20" t="n">
        <v>2.35546125</v>
      </c>
      <c r="I60" s="18" t="s">
        <v>349</v>
      </c>
      <c r="J60" s="20" t="s">
        <v>349</v>
      </c>
      <c r="K60" s="18" t="n">
        <v>6.9403917</v>
      </c>
      <c r="L60" s="20" t="n">
        <v>1.41635719</v>
      </c>
      <c r="M60" s="18" t="n">
        <v>0.27844717</v>
      </c>
      <c r="N60" s="20" t="n">
        <v>0.28917747</v>
      </c>
      <c r="O60" s="18" t="n">
        <v>0</v>
      </c>
      <c r="P60" s="20" t="n">
        <v>0</v>
      </c>
      <c r="Q60" s="18" t="n">
        <v>25.74660712</v>
      </c>
      <c r="R60" s="20" t="n">
        <v>2.80835365</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28.65194602</v>
      </c>
      <c r="F63" s="20" t="n">
        <v>2.39102577</v>
      </c>
      <c r="G63" s="18" t="n">
        <v>26.53110554</v>
      </c>
      <c r="H63" s="20" t="n">
        <v>1.99494561</v>
      </c>
      <c r="I63" s="18" t="s">
        <v>349</v>
      </c>
      <c r="J63" s="20" t="s">
        <v>349</v>
      </c>
      <c r="K63" s="18" t="n">
        <v>6.72447904</v>
      </c>
      <c r="L63" s="20" t="n">
        <v>1.23460823</v>
      </c>
      <c r="M63" s="18" t="n">
        <v>0</v>
      </c>
      <c r="N63" s="20" t="n">
        <v>0</v>
      </c>
      <c r="O63" s="18" t="n">
        <v>0</v>
      </c>
      <c r="P63" s="20" t="n">
        <v>0</v>
      </c>
      <c r="Q63" s="18" t="n">
        <v>38.0924694</v>
      </c>
      <c r="R63" s="20" t="n">
        <v>2.50158376</v>
      </c>
    </row>
    <row r="64" spans="1:18">
      <c r="A64" s="15" t="s">
        <v>406</v>
      </c>
      <c r="B64" s="17" t="n">
        <v>1844</v>
      </c>
      <c r="C64" s="18">
        <f>(1531.0/B64*100)</f>
        <v/>
      </c>
      <c r="D64" s="19" t="n">
        <v>313</v>
      </c>
      <c r="E64" s="18" t="n">
        <v>51.31071695</v>
      </c>
      <c r="F64" s="20" t="n">
        <v>2.88077658</v>
      </c>
      <c r="G64" s="18" t="n">
        <v>27.12931575</v>
      </c>
      <c r="H64" s="20" t="n">
        <v>2.85021789</v>
      </c>
      <c r="I64" s="18" t="s">
        <v>349</v>
      </c>
      <c r="J64" s="20" t="s">
        <v>349</v>
      </c>
      <c r="K64" s="18" t="n">
        <v>5.18304747</v>
      </c>
      <c r="L64" s="20" t="n">
        <v>1.27597719</v>
      </c>
      <c r="M64" s="18" t="n">
        <v>0</v>
      </c>
      <c r="N64" s="20" t="n">
        <v>0</v>
      </c>
      <c r="O64" s="18" t="n">
        <v>0</v>
      </c>
      <c r="P64" s="20" t="n">
        <v>0</v>
      </c>
      <c r="Q64" s="18" t="n">
        <v>16.37691984</v>
      </c>
      <c r="R64" s="20" t="n">
        <v>1.94435495</v>
      </c>
    </row>
    <row r="65" spans="1:18">
      <c r="A65" s="15" t="s">
        <v>407</v>
      </c>
      <c r="B65" s="17" t="n">
        <v>2691</v>
      </c>
      <c r="C65" s="18">
        <f>(2249.0/B65*100)</f>
        <v/>
      </c>
      <c r="D65" s="19" t="n">
        <v>442</v>
      </c>
      <c r="E65" s="18" t="n">
        <v>43.69447014</v>
      </c>
      <c r="F65" s="20" t="n">
        <v>2.30054688</v>
      </c>
      <c r="G65" s="18" t="n">
        <v>16.7514175</v>
      </c>
      <c r="H65" s="20" t="n">
        <v>1.75770391</v>
      </c>
      <c r="I65" s="18" t="s">
        <v>349</v>
      </c>
      <c r="J65" s="20" t="s">
        <v>349</v>
      </c>
      <c r="K65" s="18" t="n">
        <v>10.34870255</v>
      </c>
      <c r="L65" s="20" t="n">
        <v>1.37837176</v>
      </c>
      <c r="M65" s="18" t="n">
        <v>0</v>
      </c>
      <c r="N65" s="20" t="n">
        <v>0</v>
      </c>
      <c r="O65" s="18" t="n">
        <v>0</v>
      </c>
      <c r="P65" s="20" t="n">
        <v>0</v>
      </c>
      <c r="Q65" s="18" t="n">
        <v>29.20540981</v>
      </c>
      <c r="R65" s="20" t="n">
        <v>2.00885618</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67.15825758</v>
      </c>
      <c r="F69" s="20" t="n">
        <v>2.37792727</v>
      </c>
      <c r="G69" s="18" t="n">
        <v>32.84174242</v>
      </c>
      <c r="H69" s="20" t="n">
        <v>2.37792727</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42.22620176</v>
      </c>
      <c r="F74" s="20" t="n">
        <v>2.64395904</v>
      </c>
      <c r="G74" s="18" t="n">
        <v>25.41321045</v>
      </c>
      <c r="H74" s="20" t="n">
        <v>2.65062623</v>
      </c>
      <c r="I74" s="18" t="s">
        <v>349</v>
      </c>
      <c r="J74" s="20" t="s">
        <v>349</v>
      </c>
      <c r="K74" s="18" t="n">
        <v>11.26649181</v>
      </c>
      <c r="L74" s="20" t="n">
        <v>1.9530584</v>
      </c>
      <c r="M74" s="18" t="n">
        <v>0</v>
      </c>
      <c r="N74" s="20" t="n">
        <v>0</v>
      </c>
      <c r="O74" s="18" t="n">
        <v>0</v>
      </c>
      <c r="P74" s="20" t="n">
        <v>0</v>
      </c>
      <c r="Q74" s="18" t="n">
        <v>21.09409598</v>
      </c>
      <c r="R74" s="20" t="n">
        <v>2.28635325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63.72465344</v>
      </c>
      <c r="F78" s="20" t="n">
        <v>2.85108226</v>
      </c>
      <c r="G78" s="18" t="n">
        <v>33.37378018</v>
      </c>
      <c r="H78" s="20" t="n">
        <v>2.7675272</v>
      </c>
      <c r="I78" s="18" t="s">
        <v>349</v>
      </c>
      <c r="J78" s="20" t="s">
        <v>349</v>
      </c>
      <c r="K78" s="18" t="n">
        <v>0</v>
      </c>
      <c r="L78" s="20" t="n">
        <v>0</v>
      </c>
      <c r="M78" s="18" t="n">
        <v>0</v>
      </c>
      <c r="N78" s="20" t="n">
        <v>0</v>
      </c>
      <c r="O78" s="18" t="n">
        <v>0</v>
      </c>
      <c r="P78" s="20" t="n">
        <v>0</v>
      </c>
      <c r="Q78" s="18" t="n">
        <v>2.90156637</v>
      </c>
      <c r="R78" s="20" t="n">
        <v>0.76824732</v>
      </c>
    </row>
    <row customHeight="1" ht="25" r="79" spans="1:18">
      <c r="A79" s="15" t="s">
        <v>421</v>
      </c>
      <c r="B79" s="17" t="n">
        <v>787</v>
      </c>
      <c r="C79" s="18">
        <f>(653.0/B79*100)</f>
        <v/>
      </c>
      <c r="D79" s="19" t="n">
        <v>134</v>
      </c>
      <c r="E79" s="18" t="n">
        <v>50.54242547</v>
      </c>
      <c r="F79" s="20" t="n">
        <v>4.50442393</v>
      </c>
      <c r="G79" s="18" t="n">
        <v>30.71230968</v>
      </c>
      <c r="H79" s="20" t="n">
        <v>4.53082598</v>
      </c>
      <c r="I79" s="18" t="s">
        <v>349</v>
      </c>
      <c r="J79" s="20" t="s">
        <v>349</v>
      </c>
      <c r="K79" s="18" t="n">
        <v>5.46443679</v>
      </c>
      <c r="L79" s="20" t="n">
        <v>2.06923967</v>
      </c>
      <c r="M79" s="18" t="n">
        <v>0</v>
      </c>
      <c r="N79" s="20" t="n">
        <v>0</v>
      </c>
      <c r="O79" s="18" t="n">
        <v>0</v>
      </c>
      <c r="P79" s="20" t="n">
        <v>0</v>
      </c>
      <c r="Q79" s="18" t="n">
        <v>13.28082806</v>
      </c>
      <c r="R79" s="20" t="n">
        <v>3.17840153</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590</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2524</v>
      </c>
      <c r="C44" s="18">
        <f>(2103.0/B44*100)</f>
        <v/>
      </c>
      <c r="D44" s="19" t="n">
        <v>421</v>
      </c>
      <c r="E44" s="18" t="n">
        <v>54.25156932</v>
      </c>
      <c r="F44" s="20" t="n">
        <v>3.0594285</v>
      </c>
      <c r="G44" s="18" t="n">
        <v>7.38335213</v>
      </c>
      <c r="H44" s="20" t="n">
        <v>1.28174508</v>
      </c>
      <c r="I44" s="18" t="n">
        <v>4.03714916</v>
      </c>
      <c r="J44" s="20" t="n">
        <v>1.05512735</v>
      </c>
      <c r="K44" s="18" t="s">
        <v>349</v>
      </c>
      <c r="L44" s="20" t="s">
        <v>349</v>
      </c>
      <c r="M44" s="18" t="n">
        <v>7.19314739</v>
      </c>
      <c r="N44" s="20" t="n">
        <v>1.51566726</v>
      </c>
      <c r="O44" s="18" t="n">
        <v>0</v>
      </c>
      <c r="P44" s="20" t="n">
        <v>0</v>
      </c>
      <c r="Q44" s="18" t="n">
        <v>0</v>
      </c>
      <c r="R44" s="20" t="n">
        <v>0</v>
      </c>
      <c r="S44" s="18" t="n">
        <v>27.13478201</v>
      </c>
      <c r="T44" s="20" t="n">
        <v>2.60643889</v>
      </c>
    </row>
    <row r="45" spans="1:20">
      <c r="A45" s="15" t="s">
        <v>387</v>
      </c>
      <c r="B45" s="17" t="n">
        <v>2849</v>
      </c>
      <c r="C45" s="18">
        <f>(2366.0/B45*100)</f>
        <v/>
      </c>
      <c r="D45" s="19" t="n">
        <v>483</v>
      </c>
      <c r="E45" s="18" t="n">
        <v>62.70301466</v>
      </c>
      <c r="F45" s="20" t="n">
        <v>2.13644653</v>
      </c>
      <c r="G45" s="18" t="n">
        <v>4.141569</v>
      </c>
      <c r="H45" s="20" t="n">
        <v>0.88385021</v>
      </c>
      <c r="I45" s="18" t="n">
        <v>0.20601444</v>
      </c>
      <c r="J45" s="20" t="n">
        <v>0.22084994</v>
      </c>
      <c r="K45" s="18" t="s">
        <v>349</v>
      </c>
      <c r="L45" s="20" t="s">
        <v>349</v>
      </c>
      <c r="M45" s="18" t="n">
        <v>8.813817480000001</v>
      </c>
      <c r="N45" s="20" t="n">
        <v>1.45994274</v>
      </c>
      <c r="O45" s="18" t="n">
        <v>0.64948864</v>
      </c>
      <c r="P45" s="20" t="n">
        <v>0.33164873</v>
      </c>
      <c r="Q45" s="18" t="n">
        <v>0.29219972</v>
      </c>
      <c r="R45" s="20" t="n">
        <v>0.30260885</v>
      </c>
      <c r="S45" s="18" t="n">
        <v>23.19389606</v>
      </c>
      <c r="T45" s="20" t="n">
        <v>2.03085642</v>
      </c>
    </row>
    <row r="46" spans="1:20">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3018</v>
      </c>
      <c r="C49" s="18">
        <f>(2487.0/B49*100)</f>
        <v/>
      </c>
      <c r="D49" s="19" t="n">
        <v>531</v>
      </c>
      <c r="E49" s="18" t="n">
        <v>70.40318064</v>
      </c>
      <c r="F49" s="20" t="n">
        <v>2.31342807</v>
      </c>
      <c r="G49" s="18" t="n">
        <v>2.32005893</v>
      </c>
      <c r="H49" s="20" t="n">
        <v>0.79550278</v>
      </c>
      <c r="I49" s="18" t="n">
        <v>1.93890259</v>
      </c>
      <c r="J49" s="20" t="n">
        <v>0.74395472</v>
      </c>
      <c r="K49" s="18" t="s">
        <v>349</v>
      </c>
      <c r="L49" s="20" t="s">
        <v>349</v>
      </c>
      <c r="M49" s="18" t="n">
        <v>3.92026151</v>
      </c>
      <c r="N49" s="20" t="n">
        <v>0.84226022</v>
      </c>
      <c r="O49" s="18" t="n">
        <v>0.27941586</v>
      </c>
      <c r="P49" s="20" t="n">
        <v>0.2937576</v>
      </c>
      <c r="Q49" s="18" t="n">
        <v>0</v>
      </c>
      <c r="R49" s="20" t="n">
        <v>0</v>
      </c>
      <c r="S49" s="18" t="n">
        <v>21.13818047</v>
      </c>
      <c r="T49" s="20" t="n">
        <v>2.19994174</v>
      </c>
    </row>
    <row r="50" spans="1:20">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2759</v>
      </c>
      <c r="C55" s="18">
        <f>(2314.0/B55*100)</f>
        <v/>
      </c>
      <c r="D55" s="19" t="n">
        <v>445</v>
      </c>
      <c r="E55" s="18" t="n">
        <v>56.05207143</v>
      </c>
      <c r="F55" s="20" t="n">
        <v>2.40171463</v>
      </c>
      <c r="G55" s="18" t="n">
        <v>5.54262211</v>
      </c>
      <c r="H55" s="20" t="n">
        <v>1.19879749</v>
      </c>
      <c r="I55" s="18" t="n">
        <v>0.86084301</v>
      </c>
      <c r="J55" s="20" t="n">
        <v>0.41301966</v>
      </c>
      <c r="K55" s="18" t="s">
        <v>349</v>
      </c>
      <c r="L55" s="20" t="s">
        <v>349</v>
      </c>
      <c r="M55" s="18" t="n">
        <v>4.66988534</v>
      </c>
      <c r="N55" s="20" t="n">
        <v>0.95773939</v>
      </c>
      <c r="O55" s="18" t="n">
        <v>0</v>
      </c>
      <c r="P55" s="20" t="n">
        <v>0</v>
      </c>
      <c r="Q55" s="18" t="n">
        <v>0</v>
      </c>
      <c r="R55" s="20" t="n">
        <v>0</v>
      </c>
      <c r="S55" s="18" t="n">
        <v>32.87457811</v>
      </c>
      <c r="T55" s="20" t="n">
        <v>2.19487524</v>
      </c>
    </row>
    <row r="56" spans="1:20">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3170</v>
      </c>
      <c r="C57" s="18">
        <f>(2639.0/B57*100)</f>
        <v/>
      </c>
      <c r="D57" s="19" t="n">
        <v>531</v>
      </c>
      <c r="E57" s="18" t="n">
        <v>88.09731988999999</v>
      </c>
      <c r="F57" s="20" t="n">
        <v>1.59579308</v>
      </c>
      <c r="G57" s="18" t="n">
        <v>1.64279357</v>
      </c>
      <c r="H57" s="20" t="n">
        <v>0.46714317</v>
      </c>
      <c r="I57" s="18" t="n">
        <v>1.09204246</v>
      </c>
      <c r="J57" s="20" t="n">
        <v>0.46483702</v>
      </c>
      <c r="K57" s="18" t="s">
        <v>349</v>
      </c>
      <c r="L57" s="20" t="s">
        <v>349</v>
      </c>
      <c r="M57" s="18" t="n">
        <v>1.48932947</v>
      </c>
      <c r="N57" s="20" t="n">
        <v>0.58242809</v>
      </c>
      <c r="O57" s="18" t="n">
        <v>0</v>
      </c>
      <c r="P57" s="20" t="n">
        <v>0</v>
      </c>
      <c r="Q57" s="18" t="n">
        <v>0</v>
      </c>
      <c r="R57" s="20" t="n">
        <v>0</v>
      </c>
      <c r="S57" s="18" t="n">
        <v>7.67851462</v>
      </c>
      <c r="T57" s="20" t="n">
        <v>1.2976768</v>
      </c>
    </row>
    <row r="58" spans="1:20">
      <c r="A58" s="15" t="s">
        <v>400</v>
      </c>
      <c r="B58" s="17" t="n">
        <v>3530</v>
      </c>
      <c r="C58" s="18">
        <f>(2946.0/B58*100)</f>
        <v/>
      </c>
      <c r="D58" s="19" t="n">
        <v>584</v>
      </c>
      <c r="E58" s="18" t="n">
        <v>75.21276491</v>
      </c>
      <c r="F58" s="20" t="n">
        <v>2.4981949</v>
      </c>
      <c r="G58" s="18" t="n">
        <v>3.91935204</v>
      </c>
      <c r="H58" s="20" t="n">
        <v>1.31784804</v>
      </c>
      <c r="I58" s="18" t="n">
        <v>0.69748848</v>
      </c>
      <c r="J58" s="20" t="n">
        <v>0.39391186</v>
      </c>
      <c r="K58" s="18" t="s">
        <v>349</v>
      </c>
      <c r="L58" s="20" t="s">
        <v>349</v>
      </c>
      <c r="M58" s="18" t="n">
        <v>5.53847525</v>
      </c>
      <c r="N58" s="20" t="n">
        <v>1.25052788</v>
      </c>
      <c r="O58" s="18" t="n">
        <v>0</v>
      </c>
      <c r="P58" s="20" t="n">
        <v>0</v>
      </c>
      <c r="Q58" s="18" t="n">
        <v>0</v>
      </c>
      <c r="R58" s="20" t="n">
        <v>0</v>
      </c>
      <c r="S58" s="18" t="n">
        <v>14.63191931</v>
      </c>
      <c r="T58" s="20" t="n">
        <v>1.74094025</v>
      </c>
    </row>
    <row r="59" spans="1:20">
      <c r="A59" s="15" t="s">
        <v>401</v>
      </c>
      <c r="B59" s="17" t="n">
        <v>2548</v>
      </c>
      <c r="C59" s="18">
        <f>(2102.0/B59*100)</f>
        <v/>
      </c>
      <c r="D59" s="19" t="n">
        <v>446</v>
      </c>
      <c r="E59" s="18" t="n">
        <v>78.54993766</v>
      </c>
      <c r="F59" s="20" t="n">
        <v>2.26898486</v>
      </c>
      <c r="G59" s="18" t="n">
        <v>1.47439744</v>
      </c>
      <c r="H59" s="20" t="n">
        <v>0.66397571</v>
      </c>
      <c r="I59" s="18" t="n">
        <v>0.19621574</v>
      </c>
      <c r="J59" s="20" t="n">
        <v>0.13495088</v>
      </c>
      <c r="K59" s="18" t="s">
        <v>349</v>
      </c>
      <c r="L59" s="20" t="s">
        <v>349</v>
      </c>
      <c r="M59" s="18" t="n">
        <v>1.76668398</v>
      </c>
      <c r="N59" s="20" t="n">
        <v>0.58121049</v>
      </c>
      <c r="O59" s="18" t="n">
        <v>0</v>
      </c>
      <c r="P59" s="20" t="n">
        <v>0</v>
      </c>
      <c r="Q59" s="18" t="n">
        <v>0</v>
      </c>
      <c r="R59" s="20" t="n">
        <v>0</v>
      </c>
      <c r="S59" s="18" t="n">
        <v>18.01276518</v>
      </c>
      <c r="T59" s="20" t="n">
        <v>2.14447621</v>
      </c>
    </row>
    <row r="60" spans="1:20">
      <c r="A60" s="15" t="s">
        <v>402</v>
      </c>
      <c r="B60" s="17" t="n">
        <v>2095</v>
      </c>
      <c r="C60" s="18">
        <f>(1741.0/B60*100)</f>
        <v/>
      </c>
      <c r="D60" s="19" t="n">
        <v>354</v>
      </c>
      <c r="E60" s="18" t="n">
        <v>52.69374829</v>
      </c>
      <c r="F60" s="20" t="n">
        <v>3.04569327</v>
      </c>
      <c r="G60" s="18" t="n">
        <v>5.63381261</v>
      </c>
      <c r="H60" s="20" t="n">
        <v>1.23600868</v>
      </c>
      <c r="I60" s="18" t="n">
        <v>3.4077424</v>
      </c>
      <c r="J60" s="20" t="n">
        <v>1.04476909</v>
      </c>
      <c r="K60" s="18" t="s">
        <v>349</v>
      </c>
      <c r="L60" s="20" t="s">
        <v>349</v>
      </c>
      <c r="M60" s="18" t="n">
        <v>7.85474474</v>
      </c>
      <c r="N60" s="20" t="n">
        <v>1.50908354</v>
      </c>
      <c r="O60" s="18" t="n">
        <v>0</v>
      </c>
      <c r="P60" s="20" t="n">
        <v>0</v>
      </c>
      <c r="Q60" s="18" t="n">
        <v>0</v>
      </c>
      <c r="R60" s="20" t="n">
        <v>0</v>
      </c>
      <c r="S60" s="18" t="n">
        <v>30.40995196</v>
      </c>
      <c r="T60" s="20" t="n">
        <v>2.51251357</v>
      </c>
    </row>
    <row r="61" spans="1:20">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2813</v>
      </c>
      <c r="C63" s="18">
        <f>(2340.0/B63*100)</f>
        <v/>
      </c>
      <c r="D63" s="19" t="n">
        <v>473</v>
      </c>
      <c r="E63" s="18" t="n">
        <v>53.3240379</v>
      </c>
      <c r="F63" s="20" t="n">
        <v>2.67745558</v>
      </c>
      <c r="G63" s="18" t="n">
        <v>2.29164623</v>
      </c>
      <c r="H63" s="20" t="n">
        <v>0.78634863</v>
      </c>
      <c r="I63" s="18" t="n">
        <v>0.73306608</v>
      </c>
      <c r="J63" s="20" t="n">
        <v>0.16097248</v>
      </c>
      <c r="K63" s="18" t="s">
        <v>349</v>
      </c>
      <c r="L63" s="20" t="s">
        <v>349</v>
      </c>
      <c r="M63" s="18" t="n">
        <v>6.72447904</v>
      </c>
      <c r="N63" s="20" t="n">
        <v>1.23460823</v>
      </c>
      <c r="O63" s="18" t="n">
        <v>0</v>
      </c>
      <c r="P63" s="20" t="n">
        <v>0</v>
      </c>
      <c r="Q63" s="18" t="n">
        <v>0</v>
      </c>
      <c r="R63" s="20" t="n">
        <v>0</v>
      </c>
      <c r="S63" s="18" t="n">
        <v>36.92677074</v>
      </c>
      <c r="T63" s="20" t="n">
        <v>2.55688449</v>
      </c>
    </row>
    <row r="64" spans="1:20">
      <c r="A64" s="15" t="s">
        <v>406</v>
      </c>
      <c r="B64" s="17" t="n">
        <v>1844</v>
      </c>
      <c r="C64" s="18">
        <f>(1531.0/B64*100)</f>
        <v/>
      </c>
      <c r="D64" s="19" t="n">
        <v>313</v>
      </c>
      <c r="E64" s="18" t="n">
        <v>62.24470104</v>
      </c>
      <c r="F64" s="20" t="n">
        <v>2.48361244</v>
      </c>
      <c r="G64" s="18" t="n">
        <v>5.72829936</v>
      </c>
      <c r="H64" s="20" t="n">
        <v>1.36185453</v>
      </c>
      <c r="I64" s="18" t="n">
        <v>12.60455598</v>
      </c>
      <c r="J64" s="20" t="n">
        <v>2.07397903</v>
      </c>
      <c r="K64" s="18" t="s">
        <v>349</v>
      </c>
      <c r="L64" s="20" t="s">
        <v>349</v>
      </c>
      <c r="M64" s="18" t="n">
        <v>5.7957534</v>
      </c>
      <c r="N64" s="20" t="n">
        <v>1.33433214</v>
      </c>
      <c r="O64" s="18" t="n">
        <v>0</v>
      </c>
      <c r="P64" s="20" t="n">
        <v>0</v>
      </c>
      <c r="Q64" s="18" t="n">
        <v>0</v>
      </c>
      <c r="R64" s="20" t="n">
        <v>0</v>
      </c>
      <c r="S64" s="18" t="n">
        <v>13.62669023</v>
      </c>
      <c r="T64" s="20" t="n">
        <v>1.7139421</v>
      </c>
    </row>
    <row r="65" spans="1:20">
      <c r="A65" s="15" t="s">
        <v>407</v>
      </c>
      <c r="B65" s="17" t="n">
        <v>2691</v>
      </c>
      <c r="C65" s="18">
        <f>(2249.0/B65*100)</f>
        <v/>
      </c>
      <c r="D65" s="19" t="n">
        <v>442</v>
      </c>
      <c r="E65" s="18" t="n">
        <v>57.770397</v>
      </c>
      <c r="F65" s="20" t="n">
        <v>2.49110148</v>
      </c>
      <c r="G65" s="18" t="n">
        <v>1.88737619</v>
      </c>
      <c r="H65" s="20" t="n">
        <v>0.66042062</v>
      </c>
      <c r="I65" s="18" t="n">
        <v>2.18493889</v>
      </c>
      <c r="J65" s="20" t="n">
        <v>0.83439275</v>
      </c>
      <c r="K65" s="18" t="s">
        <v>349</v>
      </c>
      <c r="L65" s="20" t="s">
        <v>349</v>
      </c>
      <c r="M65" s="18" t="n">
        <v>10.73162789</v>
      </c>
      <c r="N65" s="20" t="n">
        <v>1.33354863</v>
      </c>
      <c r="O65" s="18" t="n">
        <v>0</v>
      </c>
      <c r="P65" s="20" t="n">
        <v>0</v>
      </c>
      <c r="Q65" s="18" t="n">
        <v>0</v>
      </c>
      <c r="R65" s="20" t="n">
        <v>0</v>
      </c>
      <c r="S65" s="18" t="n">
        <v>27.42566002</v>
      </c>
      <c r="T65" s="20" t="n">
        <v>2.40260087</v>
      </c>
    </row>
    <row r="66" spans="1:20">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2410</v>
      </c>
      <c r="C69" s="18">
        <f>(2007.0/B69*100)</f>
        <v/>
      </c>
      <c r="D69" s="19" t="n">
        <v>403</v>
      </c>
      <c r="E69" s="18" t="n">
        <v>89.31480744</v>
      </c>
      <c r="F69" s="20" t="n">
        <v>1.77273173</v>
      </c>
      <c r="G69" s="18" t="n">
        <v>5.46948158</v>
      </c>
      <c r="H69" s="20" t="n">
        <v>1.2369852</v>
      </c>
      <c r="I69" s="18" t="n">
        <v>4.99462086</v>
      </c>
      <c r="J69" s="20" t="n">
        <v>1.10320235</v>
      </c>
      <c r="K69" s="18" t="s">
        <v>349</v>
      </c>
      <c r="L69" s="20" t="s">
        <v>349</v>
      </c>
      <c r="M69" s="18" t="n">
        <v>0</v>
      </c>
      <c r="N69" s="20" t="n">
        <v>0</v>
      </c>
      <c r="O69" s="18" t="n">
        <v>0</v>
      </c>
      <c r="P69" s="20" t="n">
        <v>0</v>
      </c>
      <c r="Q69" s="18" t="n">
        <v>0</v>
      </c>
      <c r="R69" s="20" t="n">
        <v>0</v>
      </c>
      <c r="S69" s="18" t="n">
        <v>0.22109012</v>
      </c>
      <c r="T69" s="20" t="n">
        <v>0.22248073</v>
      </c>
    </row>
    <row r="70" spans="1:20">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2239</v>
      </c>
      <c r="C74" s="18">
        <f>(1865.0/B74*100)</f>
        <v/>
      </c>
      <c r="D74" s="19" t="n">
        <v>374</v>
      </c>
      <c r="E74" s="18" t="n">
        <v>61.84493078</v>
      </c>
      <c r="F74" s="20" t="n">
        <v>2.52064319</v>
      </c>
      <c r="G74" s="18" t="n">
        <v>0.9420484099999999</v>
      </c>
      <c r="H74" s="20" t="n">
        <v>0.70172565</v>
      </c>
      <c r="I74" s="18" t="n">
        <v>3.85327567</v>
      </c>
      <c r="J74" s="20" t="n">
        <v>1.05689474</v>
      </c>
      <c r="K74" s="18" t="s">
        <v>349</v>
      </c>
      <c r="L74" s="20" t="s">
        <v>349</v>
      </c>
      <c r="M74" s="18" t="n">
        <v>11.26649181</v>
      </c>
      <c r="N74" s="20" t="n">
        <v>1.9530584</v>
      </c>
      <c r="O74" s="18" t="n">
        <v>0</v>
      </c>
      <c r="P74" s="20" t="n">
        <v>0</v>
      </c>
      <c r="Q74" s="18" t="n">
        <v>0</v>
      </c>
      <c r="R74" s="20" t="n">
        <v>0</v>
      </c>
      <c r="S74" s="18" t="n">
        <v>22.09325334</v>
      </c>
      <c r="T74" s="20" t="n">
        <v>2.22982382</v>
      </c>
    </row>
    <row r="75" spans="1:20">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2786</v>
      </c>
      <c r="C78" s="18">
        <f>(2319.0/B78*100)</f>
        <v/>
      </c>
      <c r="D78" s="19" t="n">
        <v>467</v>
      </c>
      <c r="E78" s="18" t="n">
        <v>82.26783186</v>
      </c>
      <c r="F78" s="20" t="n">
        <v>2.15327905</v>
      </c>
      <c r="G78" s="18" t="n">
        <v>8.554621900000001</v>
      </c>
      <c r="H78" s="20" t="n">
        <v>1.48819995</v>
      </c>
      <c r="I78" s="18" t="n">
        <v>7.40107312</v>
      </c>
      <c r="J78" s="20" t="n">
        <v>1.74517024</v>
      </c>
      <c r="K78" s="18" t="s">
        <v>349</v>
      </c>
      <c r="L78" s="20" t="s">
        <v>349</v>
      </c>
      <c r="M78" s="18" t="n">
        <v>0</v>
      </c>
      <c r="N78" s="20" t="n">
        <v>0</v>
      </c>
      <c r="O78" s="18" t="n">
        <v>0</v>
      </c>
      <c r="P78" s="20" t="n">
        <v>0</v>
      </c>
      <c r="Q78" s="18" t="n">
        <v>0</v>
      </c>
      <c r="R78" s="20" t="n">
        <v>0</v>
      </c>
      <c r="S78" s="18" t="n">
        <v>1.77647313</v>
      </c>
      <c r="T78" s="20" t="n">
        <v>0.6895179299999999</v>
      </c>
    </row>
    <row customHeight="1" ht="25" r="79" spans="1:20">
      <c r="A79" s="15" t="s">
        <v>421</v>
      </c>
      <c r="B79" s="17" t="n">
        <v>787</v>
      </c>
      <c r="C79" s="18">
        <f>(653.0/B79*100)</f>
        <v/>
      </c>
      <c r="D79" s="19" t="n">
        <v>134</v>
      </c>
      <c r="E79" s="18" t="n">
        <v>68.47557909</v>
      </c>
      <c r="F79" s="20" t="n">
        <v>3.46821084</v>
      </c>
      <c r="G79" s="18" t="n">
        <v>5.19246183</v>
      </c>
      <c r="H79" s="20" t="n">
        <v>1.75887029</v>
      </c>
      <c r="I79" s="18" t="n">
        <v>5.09836291</v>
      </c>
      <c r="J79" s="20" t="n">
        <v>2.2647977</v>
      </c>
      <c r="K79" s="18" t="s">
        <v>349</v>
      </c>
      <c r="L79" s="20" t="s">
        <v>349</v>
      </c>
      <c r="M79" s="18" t="n">
        <v>6.00081027</v>
      </c>
      <c r="N79" s="20" t="n">
        <v>2.25834051</v>
      </c>
      <c r="O79" s="18" t="n">
        <v>0</v>
      </c>
      <c r="P79" s="20" t="n">
        <v>0</v>
      </c>
      <c r="Q79" s="18" t="n">
        <v>0</v>
      </c>
      <c r="R79" s="20" t="n">
        <v>0</v>
      </c>
      <c r="S79" s="18" t="n">
        <v>15.23278589</v>
      </c>
      <c r="T79" s="20" t="n">
        <v>3.49333503</v>
      </c>
    </row>
    <row r="80" spans="1:2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41.99407786</v>
      </c>
      <c r="F44" s="20" t="n">
        <v>3.69445425</v>
      </c>
      <c r="G44" s="18" t="n">
        <v>39.57456997</v>
      </c>
      <c r="H44" s="20" t="n">
        <v>3.54193312</v>
      </c>
      <c r="I44" s="18" t="s">
        <v>349</v>
      </c>
      <c r="J44" s="20" t="s">
        <v>349</v>
      </c>
      <c r="K44" s="18" t="n">
        <v>8.343866780000001</v>
      </c>
      <c r="L44" s="20" t="n">
        <v>1.65680194</v>
      </c>
      <c r="M44" s="18" t="n">
        <v>0</v>
      </c>
      <c r="N44" s="20" t="n">
        <v>0</v>
      </c>
      <c r="O44" s="18" t="n">
        <v>0</v>
      </c>
      <c r="P44" s="20" t="n">
        <v>0</v>
      </c>
      <c r="Q44" s="18" t="n">
        <v>10.0874854</v>
      </c>
      <c r="R44" s="20" t="n">
        <v>1.51296114</v>
      </c>
    </row>
    <row r="45" spans="1:18">
      <c r="A45" s="15" t="s">
        <v>387</v>
      </c>
      <c r="B45" s="17" t="n">
        <v>2849</v>
      </c>
      <c r="C45" s="18">
        <f>(2366.0/B45*100)</f>
        <v/>
      </c>
      <c r="D45" s="19" t="n">
        <v>483</v>
      </c>
      <c r="E45" s="18" t="n">
        <v>45.78980507</v>
      </c>
      <c r="F45" s="20" t="n">
        <v>2.15804721</v>
      </c>
      <c r="G45" s="18" t="n">
        <v>33.48572627</v>
      </c>
      <c r="H45" s="20" t="n">
        <v>2.17778403</v>
      </c>
      <c r="I45" s="18" t="s">
        <v>349</v>
      </c>
      <c r="J45" s="20" t="s">
        <v>349</v>
      </c>
      <c r="K45" s="18" t="n">
        <v>9.85651994</v>
      </c>
      <c r="L45" s="20" t="n">
        <v>1.51132333</v>
      </c>
      <c r="M45" s="18" t="n">
        <v>0.58104396</v>
      </c>
      <c r="N45" s="20" t="n">
        <v>0.35304754</v>
      </c>
      <c r="O45" s="18" t="n">
        <v>0</v>
      </c>
      <c r="P45" s="20" t="n">
        <v>0</v>
      </c>
      <c r="Q45" s="18" t="n">
        <v>10.28690476</v>
      </c>
      <c r="R45" s="20" t="n">
        <v>1.68085367</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45.70349874</v>
      </c>
      <c r="F49" s="20" t="n">
        <v>2.63257217</v>
      </c>
      <c r="G49" s="18" t="n">
        <v>42.05383794</v>
      </c>
      <c r="H49" s="20" t="n">
        <v>2.58945928</v>
      </c>
      <c r="I49" s="18" t="s">
        <v>349</v>
      </c>
      <c r="J49" s="20" t="s">
        <v>349</v>
      </c>
      <c r="K49" s="18" t="n">
        <v>5.21660163</v>
      </c>
      <c r="L49" s="20" t="n">
        <v>1.03060429</v>
      </c>
      <c r="M49" s="18" t="n">
        <v>0.27941586</v>
      </c>
      <c r="N49" s="20" t="n">
        <v>0.2937576</v>
      </c>
      <c r="O49" s="18" t="n">
        <v>0</v>
      </c>
      <c r="P49" s="20" t="n">
        <v>0</v>
      </c>
      <c r="Q49" s="18" t="n">
        <v>6.74664582</v>
      </c>
      <c r="R49" s="20" t="n">
        <v>1.4624732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46.08911618</v>
      </c>
      <c r="F55" s="20" t="n">
        <v>2.30450602</v>
      </c>
      <c r="G55" s="18" t="n">
        <v>34.15506086</v>
      </c>
      <c r="H55" s="20" t="n">
        <v>2.2130483</v>
      </c>
      <c r="I55" s="18" t="s">
        <v>349</v>
      </c>
      <c r="J55" s="20" t="s">
        <v>349</v>
      </c>
      <c r="K55" s="18" t="n">
        <v>6.07076153</v>
      </c>
      <c r="L55" s="20" t="n">
        <v>1.18109375</v>
      </c>
      <c r="M55" s="18" t="n">
        <v>0</v>
      </c>
      <c r="N55" s="20" t="n">
        <v>0</v>
      </c>
      <c r="O55" s="18" t="n">
        <v>0</v>
      </c>
      <c r="P55" s="20" t="n">
        <v>0</v>
      </c>
      <c r="Q55" s="18" t="n">
        <v>13.68506143</v>
      </c>
      <c r="R55" s="20" t="n">
        <v>1.70186669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54.01242389</v>
      </c>
      <c r="F57" s="20" t="n">
        <v>2.2869453</v>
      </c>
      <c r="G57" s="18" t="n">
        <v>40.98896098</v>
      </c>
      <c r="H57" s="20" t="n">
        <v>2.27716223</v>
      </c>
      <c r="I57" s="18" t="s">
        <v>349</v>
      </c>
      <c r="J57" s="20" t="s">
        <v>349</v>
      </c>
      <c r="K57" s="18" t="n">
        <v>1.48932947</v>
      </c>
      <c r="L57" s="20" t="n">
        <v>0.58242809</v>
      </c>
      <c r="M57" s="18" t="n">
        <v>0</v>
      </c>
      <c r="N57" s="20" t="n">
        <v>0</v>
      </c>
      <c r="O57" s="18" t="n">
        <v>0</v>
      </c>
      <c r="P57" s="20" t="n">
        <v>0</v>
      </c>
      <c r="Q57" s="18" t="n">
        <v>3.50928567</v>
      </c>
      <c r="R57" s="20" t="n">
        <v>1.01837766</v>
      </c>
    </row>
    <row r="58" spans="1:18">
      <c r="A58" s="15" t="s">
        <v>400</v>
      </c>
      <c r="B58" s="17" t="n">
        <v>3530</v>
      </c>
      <c r="C58" s="18">
        <f>(2946.0/B58*100)</f>
        <v/>
      </c>
      <c r="D58" s="19" t="n">
        <v>584</v>
      </c>
      <c r="E58" s="18" t="n">
        <v>52.35677507</v>
      </c>
      <c r="F58" s="20" t="n">
        <v>2.54669803</v>
      </c>
      <c r="G58" s="18" t="n">
        <v>32.07671082</v>
      </c>
      <c r="H58" s="20" t="n">
        <v>2.06434963</v>
      </c>
      <c r="I58" s="18" t="s">
        <v>349</v>
      </c>
      <c r="J58" s="20" t="s">
        <v>349</v>
      </c>
      <c r="K58" s="18" t="n">
        <v>6.74601953</v>
      </c>
      <c r="L58" s="20" t="n">
        <v>1.34385906</v>
      </c>
      <c r="M58" s="18" t="n">
        <v>0</v>
      </c>
      <c r="N58" s="20" t="n">
        <v>0</v>
      </c>
      <c r="O58" s="18" t="n">
        <v>0</v>
      </c>
      <c r="P58" s="20" t="n">
        <v>0</v>
      </c>
      <c r="Q58" s="18" t="n">
        <v>8.82049458</v>
      </c>
      <c r="R58" s="20" t="n">
        <v>1.31853994</v>
      </c>
    </row>
    <row r="59" spans="1:18">
      <c r="A59" s="15" t="s">
        <v>401</v>
      </c>
      <c r="B59" s="17" t="n">
        <v>2548</v>
      </c>
      <c r="C59" s="18">
        <f>(2102.0/B59*100)</f>
        <v/>
      </c>
      <c r="D59" s="19" t="n">
        <v>446</v>
      </c>
      <c r="E59" s="18" t="n">
        <v>60.88322631</v>
      </c>
      <c r="F59" s="20" t="n">
        <v>2.73513122</v>
      </c>
      <c r="G59" s="18" t="n">
        <v>28.24862261</v>
      </c>
      <c r="H59" s="20" t="n">
        <v>2.57764149</v>
      </c>
      <c r="I59" s="18" t="s">
        <v>349</v>
      </c>
      <c r="J59" s="20" t="s">
        <v>349</v>
      </c>
      <c r="K59" s="18" t="n">
        <v>1.76668398</v>
      </c>
      <c r="L59" s="20" t="n">
        <v>0.58121049</v>
      </c>
      <c r="M59" s="18" t="n">
        <v>0</v>
      </c>
      <c r="N59" s="20" t="n">
        <v>0</v>
      </c>
      <c r="O59" s="18" t="n">
        <v>0</v>
      </c>
      <c r="P59" s="20" t="n">
        <v>0</v>
      </c>
      <c r="Q59" s="18" t="n">
        <v>9.101467100000001</v>
      </c>
      <c r="R59" s="20" t="n">
        <v>1.58181709</v>
      </c>
    </row>
    <row r="60" spans="1:18">
      <c r="A60" s="15" t="s">
        <v>402</v>
      </c>
      <c r="B60" s="17" t="n">
        <v>2095</v>
      </c>
      <c r="C60" s="18">
        <f>(1741.0/B60*100)</f>
        <v/>
      </c>
      <c r="D60" s="19" t="n">
        <v>354</v>
      </c>
      <c r="E60" s="18" t="n">
        <v>34.19221877</v>
      </c>
      <c r="F60" s="20" t="n">
        <v>2.84893103</v>
      </c>
      <c r="G60" s="18" t="n">
        <v>38.64492447</v>
      </c>
      <c r="H60" s="20" t="n">
        <v>2.57336294</v>
      </c>
      <c r="I60" s="18" t="s">
        <v>349</v>
      </c>
      <c r="J60" s="20" t="s">
        <v>349</v>
      </c>
      <c r="K60" s="18" t="n">
        <v>9.405801159999999</v>
      </c>
      <c r="L60" s="20" t="n">
        <v>1.664137</v>
      </c>
      <c r="M60" s="18" t="n">
        <v>0</v>
      </c>
      <c r="N60" s="20" t="n">
        <v>0</v>
      </c>
      <c r="O60" s="18" t="n">
        <v>0</v>
      </c>
      <c r="P60" s="20" t="n">
        <v>0</v>
      </c>
      <c r="Q60" s="18" t="n">
        <v>17.75705561</v>
      </c>
      <c r="R60" s="20" t="n">
        <v>2.56367977</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42.34194221</v>
      </c>
      <c r="F63" s="20" t="n">
        <v>2.15650052</v>
      </c>
      <c r="G63" s="18" t="n">
        <v>28.16707753</v>
      </c>
      <c r="H63" s="20" t="n">
        <v>2.13111978</v>
      </c>
      <c r="I63" s="18" t="s">
        <v>349</v>
      </c>
      <c r="J63" s="20" t="s">
        <v>349</v>
      </c>
      <c r="K63" s="18" t="n">
        <v>7.77081755</v>
      </c>
      <c r="L63" s="20" t="n">
        <v>1.27292333</v>
      </c>
      <c r="M63" s="18" t="n">
        <v>0</v>
      </c>
      <c r="N63" s="20" t="n">
        <v>0</v>
      </c>
      <c r="O63" s="18" t="n">
        <v>0</v>
      </c>
      <c r="P63" s="20" t="n">
        <v>0</v>
      </c>
      <c r="Q63" s="18" t="n">
        <v>21.72016271</v>
      </c>
      <c r="R63" s="20" t="n">
        <v>1.94177467</v>
      </c>
    </row>
    <row r="64" spans="1:18">
      <c r="A64" s="15" t="s">
        <v>406</v>
      </c>
      <c r="B64" s="17" t="n">
        <v>1844</v>
      </c>
      <c r="C64" s="18">
        <f>(1531.0/B64*100)</f>
        <v/>
      </c>
      <c r="D64" s="19" t="n">
        <v>313</v>
      </c>
      <c r="E64" s="18" t="n">
        <v>22.81605674</v>
      </c>
      <c r="F64" s="20" t="n">
        <v>2.51432198</v>
      </c>
      <c r="G64" s="18" t="n">
        <v>64.25686215</v>
      </c>
      <c r="H64" s="20" t="n">
        <v>3.23808165</v>
      </c>
      <c r="I64" s="18" t="s">
        <v>349</v>
      </c>
      <c r="J64" s="20" t="s">
        <v>349</v>
      </c>
      <c r="K64" s="18" t="n">
        <v>6.79741798</v>
      </c>
      <c r="L64" s="20" t="n">
        <v>1.58575266</v>
      </c>
      <c r="M64" s="18" t="n">
        <v>0</v>
      </c>
      <c r="N64" s="20" t="n">
        <v>0</v>
      </c>
      <c r="O64" s="18" t="n">
        <v>0</v>
      </c>
      <c r="P64" s="20" t="n">
        <v>0</v>
      </c>
      <c r="Q64" s="18" t="n">
        <v>6.12966313</v>
      </c>
      <c r="R64" s="20" t="n">
        <v>1.2390238</v>
      </c>
    </row>
    <row r="65" spans="1:18">
      <c r="A65" s="15" t="s">
        <v>407</v>
      </c>
      <c r="B65" s="17" t="n">
        <v>2691</v>
      </c>
      <c r="C65" s="18">
        <f>(2249.0/B65*100)</f>
        <v/>
      </c>
      <c r="D65" s="19" t="n">
        <v>442</v>
      </c>
      <c r="E65" s="18" t="n">
        <v>42.37690322</v>
      </c>
      <c r="F65" s="20" t="n">
        <v>2.2146095</v>
      </c>
      <c r="G65" s="18" t="n">
        <v>36.75376211</v>
      </c>
      <c r="H65" s="20" t="n">
        <v>2.09782291</v>
      </c>
      <c r="I65" s="18" t="s">
        <v>349</v>
      </c>
      <c r="J65" s="20" t="s">
        <v>349</v>
      </c>
      <c r="K65" s="18" t="n">
        <v>11.33980356</v>
      </c>
      <c r="L65" s="20" t="n">
        <v>1.3995795</v>
      </c>
      <c r="M65" s="18" t="n">
        <v>0</v>
      </c>
      <c r="N65" s="20" t="n">
        <v>0</v>
      </c>
      <c r="O65" s="18" t="n">
        <v>0.17934885</v>
      </c>
      <c r="P65" s="20" t="n">
        <v>0.1805873</v>
      </c>
      <c r="Q65" s="18" t="n">
        <v>9.35018226</v>
      </c>
      <c r="R65" s="20" t="n">
        <v>1.3674394</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60.8413544</v>
      </c>
      <c r="F69" s="20" t="n">
        <v>3.05296271</v>
      </c>
      <c r="G69" s="18" t="n">
        <v>38.93731062</v>
      </c>
      <c r="H69" s="20" t="n">
        <v>3.03637707</v>
      </c>
      <c r="I69" s="18" t="s">
        <v>349</v>
      </c>
      <c r="J69" s="20" t="s">
        <v>349</v>
      </c>
      <c r="K69" s="18" t="n">
        <v>0</v>
      </c>
      <c r="L69" s="20" t="n">
        <v>0</v>
      </c>
      <c r="M69" s="18" t="n">
        <v>0</v>
      </c>
      <c r="N69" s="20" t="n">
        <v>0</v>
      </c>
      <c r="O69" s="18" t="n">
        <v>0</v>
      </c>
      <c r="P69" s="20" t="n">
        <v>0</v>
      </c>
      <c r="Q69" s="18" t="n">
        <v>0.22133498</v>
      </c>
      <c r="R69" s="20" t="n">
        <v>0.22089608</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41.91425829</v>
      </c>
      <c r="F74" s="20" t="n">
        <v>2.71991509</v>
      </c>
      <c r="G74" s="18" t="n">
        <v>39.08410584</v>
      </c>
      <c r="H74" s="20" t="n">
        <v>2.65973514</v>
      </c>
      <c r="I74" s="18" t="s">
        <v>349</v>
      </c>
      <c r="J74" s="20" t="s">
        <v>349</v>
      </c>
      <c r="K74" s="18" t="n">
        <v>11.61128253</v>
      </c>
      <c r="L74" s="20" t="n">
        <v>2.00370256</v>
      </c>
      <c r="M74" s="18" t="n">
        <v>0</v>
      </c>
      <c r="N74" s="20" t="n">
        <v>0</v>
      </c>
      <c r="O74" s="18" t="n">
        <v>0</v>
      </c>
      <c r="P74" s="20" t="n">
        <v>0</v>
      </c>
      <c r="Q74" s="18" t="n">
        <v>7.39035334</v>
      </c>
      <c r="R74" s="20" t="n">
        <v>1.32847695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50.62352795</v>
      </c>
      <c r="F78" s="20" t="n">
        <v>2.98566959</v>
      </c>
      <c r="G78" s="18" t="n">
        <v>47.94316393</v>
      </c>
      <c r="H78" s="20" t="n">
        <v>2.88606317</v>
      </c>
      <c r="I78" s="18" t="s">
        <v>349</v>
      </c>
      <c r="J78" s="20" t="s">
        <v>349</v>
      </c>
      <c r="K78" s="18" t="n">
        <v>0</v>
      </c>
      <c r="L78" s="20" t="n">
        <v>0</v>
      </c>
      <c r="M78" s="18" t="n">
        <v>0</v>
      </c>
      <c r="N78" s="20" t="n">
        <v>0</v>
      </c>
      <c r="O78" s="18" t="n">
        <v>0</v>
      </c>
      <c r="P78" s="20" t="n">
        <v>0</v>
      </c>
      <c r="Q78" s="18" t="n">
        <v>1.43330812</v>
      </c>
      <c r="R78" s="20" t="n">
        <v>0.69726716</v>
      </c>
    </row>
    <row customHeight="1" ht="25" r="79" spans="1:18">
      <c r="A79" s="15" t="s">
        <v>421</v>
      </c>
      <c r="B79" s="17" t="n">
        <v>787</v>
      </c>
      <c r="C79" s="18">
        <f>(653.0/B79*100)</f>
        <v/>
      </c>
      <c r="D79" s="19" t="n">
        <v>134</v>
      </c>
      <c r="E79" s="18" t="n">
        <v>30.09840895</v>
      </c>
      <c r="F79" s="20" t="n">
        <v>3.97838533</v>
      </c>
      <c r="G79" s="18" t="n">
        <v>57.09178136</v>
      </c>
      <c r="H79" s="20" t="n">
        <v>4.55734111</v>
      </c>
      <c r="I79" s="18" t="s">
        <v>349</v>
      </c>
      <c r="J79" s="20" t="s">
        <v>349</v>
      </c>
      <c r="K79" s="18" t="n">
        <v>9.181390800000001</v>
      </c>
      <c r="L79" s="20" t="n">
        <v>2.52420619</v>
      </c>
      <c r="M79" s="18" t="n">
        <v>0</v>
      </c>
      <c r="N79" s="20" t="n">
        <v>0</v>
      </c>
      <c r="O79" s="18" t="n">
        <v>0</v>
      </c>
      <c r="P79" s="20" t="n">
        <v>0</v>
      </c>
      <c r="Q79" s="18" t="n">
        <v>3.62841889</v>
      </c>
      <c r="R79" s="20" t="n">
        <v>1.87330134</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(2103.0/B44*100)</f>
        <v/>
      </c>
      <c r="D44" s="19" t="n">
        <v>421</v>
      </c>
      <c r="E44" s="18" t="n">
        <v>58.5854387</v>
      </c>
      <c r="F44" s="20" t="n">
        <v>3.34600158</v>
      </c>
      <c r="G44" s="18" t="n">
        <v>30.89496305</v>
      </c>
      <c r="H44" s="20" t="n">
        <v>2.4919285</v>
      </c>
      <c r="I44" s="18" t="s">
        <v>349</v>
      </c>
      <c r="J44" s="20" t="s">
        <v>349</v>
      </c>
      <c r="K44" s="18" t="n">
        <v>10.51959824</v>
      </c>
      <c r="L44" s="20" t="n">
        <v>1.80994998</v>
      </c>
      <c r="M44" s="18" t="n">
        <v>0</v>
      </c>
      <c r="N44" s="20" t="n">
        <v>0</v>
      </c>
      <c r="O44" s="18" t="n">
        <v>0</v>
      </c>
      <c r="P44" s="20" t="n">
        <v>0</v>
      </c>
      <c r="Q44" s="18" t="n">
        <v>0</v>
      </c>
      <c r="R44" s="20" t="n">
        <v>0</v>
      </c>
    </row>
    <row r="45" spans="1:18">
      <c r="A45" s="15" t="s">
        <v>387</v>
      </c>
      <c r="B45" s="17" t="n">
        <v>2849</v>
      </c>
      <c r="C45" s="18">
        <f>(2366.0/B45*100)</f>
        <v/>
      </c>
      <c r="D45" s="19" t="n">
        <v>483</v>
      </c>
      <c r="E45" s="18" t="n">
        <v>49.42345291</v>
      </c>
      <c r="F45" s="20" t="n">
        <v>2.35700369</v>
      </c>
      <c r="G45" s="18" t="n">
        <v>39.55226628</v>
      </c>
      <c r="H45" s="20" t="n">
        <v>2.3314257</v>
      </c>
      <c r="I45" s="18" t="s">
        <v>349</v>
      </c>
      <c r="J45" s="20" t="s">
        <v>349</v>
      </c>
      <c r="K45" s="18" t="n">
        <v>10.81870702</v>
      </c>
      <c r="L45" s="20" t="n">
        <v>1.48537083</v>
      </c>
      <c r="M45" s="18" t="n">
        <v>0</v>
      </c>
      <c r="N45" s="20" t="n">
        <v>0</v>
      </c>
      <c r="O45" s="18" t="n">
        <v>0.20557378</v>
      </c>
      <c r="P45" s="20" t="n">
        <v>0.21917268</v>
      </c>
      <c r="Q45" s="18" t="n">
        <v>0</v>
      </c>
      <c r="R45" s="20" t="n">
        <v>0</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(2487.0/B49*100)</f>
        <v/>
      </c>
      <c r="D49" s="19" t="n">
        <v>531</v>
      </c>
      <c r="E49" s="18" t="n">
        <v>52.02092601</v>
      </c>
      <c r="F49" s="20" t="n">
        <v>2.50667883</v>
      </c>
      <c r="G49" s="18" t="n">
        <v>41.98548474</v>
      </c>
      <c r="H49" s="20" t="n">
        <v>2.36017991</v>
      </c>
      <c r="I49" s="18" t="s">
        <v>349</v>
      </c>
      <c r="J49" s="20" t="s">
        <v>349</v>
      </c>
      <c r="K49" s="18" t="n">
        <v>5.71417339</v>
      </c>
      <c r="L49" s="20" t="n">
        <v>1.06669998</v>
      </c>
      <c r="M49" s="18" t="n">
        <v>0.27941586</v>
      </c>
      <c r="N49" s="20" t="n">
        <v>0.2937576</v>
      </c>
      <c r="O49" s="18" t="n">
        <v>0</v>
      </c>
      <c r="P49" s="20" t="n">
        <v>0</v>
      </c>
      <c r="Q49" s="18" t="n">
        <v>0</v>
      </c>
      <c r="R49" s="20" t="n">
        <v>0</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(2314.0/B55*100)</f>
        <v/>
      </c>
      <c r="D55" s="19" t="n">
        <v>445</v>
      </c>
      <c r="E55" s="18" t="n">
        <v>59.50861072</v>
      </c>
      <c r="F55" s="20" t="n">
        <v>2.55614625</v>
      </c>
      <c r="G55" s="18" t="n">
        <v>34.18271804</v>
      </c>
      <c r="H55" s="20" t="n">
        <v>2.59311008</v>
      </c>
      <c r="I55" s="18" t="s">
        <v>349</v>
      </c>
      <c r="J55" s="20" t="s">
        <v>349</v>
      </c>
      <c r="K55" s="18" t="n">
        <v>6.30867123</v>
      </c>
      <c r="L55" s="20" t="n">
        <v>1.21003496</v>
      </c>
      <c r="M55" s="18" t="n">
        <v>0</v>
      </c>
      <c r="N55" s="20" t="n">
        <v>0</v>
      </c>
      <c r="O55" s="18" t="n">
        <v>0</v>
      </c>
      <c r="P55" s="20" t="n">
        <v>0</v>
      </c>
      <c r="Q55" s="18" t="n">
        <v>0</v>
      </c>
      <c r="R55" s="20" t="n">
        <v>0</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(2639.0/B57*100)</f>
        <v/>
      </c>
      <c r="D57" s="19" t="n">
        <v>531</v>
      </c>
      <c r="E57" s="18" t="n">
        <v>69.45907861000001</v>
      </c>
      <c r="F57" s="20" t="n">
        <v>2.08928694</v>
      </c>
      <c r="G57" s="18" t="n">
        <v>28.7382254</v>
      </c>
      <c r="H57" s="20" t="n">
        <v>2.14021012</v>
      </c>
      <c r="I57" s="18" t="s">
        <v>349</v>
      </c>
      <c r="J57" s="20" t="s">
        <v>349</v>
      </c>
      <c r="K57" s="18" t="n">
        <v>1.80269599</v>
      </c>
      <c r="L57" s="20" t="n">
        <v>0.6223136500000001</v>
      </c>
      <c r="M57" s="18" t="n">
        <v>0</v>
      </c>
      <c r="N57" s="20" t="n">
        <v>0</v>
      </c>
      <c r="O57" s="18" t="n">
        <v>0</v>
      </c>
      <c r="P57" s="20" t="n">
        <v>0</v>
      </c>
      <c r="Q57" s="18" t="n">
        <v>0</v>
      </c>
      <c r="R57" s="20" t="n">
        <v>0</v>
      </c>
    </row>
    <row r="58" spans="1:18">
      <c r="A58" s="15" t="s">
        <v>400</v>
      </c>
      <c r="B58" s="17" t="n">
        <v>3530</v>
      </c>
      <c r="C58" s="18">
        <f>(2946.0/B58*100)</f>
        <v/>
      </c>
      <c r="D58" s="19" t="n">
        <v>584</v>
      </c>
      <c r="E58" s="18" t="n">
        <v>61.11455228</v>
      </c>
      <c r="F58" s="20" t="n">
        <v>2.22659939</v>
      </c>
      <c r="G58" s="18" t="n">
        <v>30.82887806</v>
      </c>
      <c r="H58" s="20" t="n">
        <v>1.80755306</v>
      </c>
      <c r="I58" s="18" t="s">
        <v>349</v>
      </c>
      <c r="J58" s="20" t="s">
        <v>349</v>
      </c>
      <c r="K58" s="18" t="n">
        <v>8.056569659999999</v>
      </c>
      <c r="L58" s="20" t="n">
        <v>1.48437546</v>
      </c>
      <c r="M58" s="18" t="n">
        <v>0</v>
      </c>
      <c r="N58" s="20" t="n">
        <v>0</v>
      </c>
      <c r="O58" s="18" t="n">
        <v>0</v>
      </c>
      <c r="P58" s="20" t="n">
        <v>0</v>
      </c>
      <c r="Q58" s="18" t="n">
        <v>0</v>
      </c>
      <c r="R58" s="20" t="n">
        <v>0</v>
      </c>
    </row>
    <row r="59" spans="1:18">
      <c r="A59" s="15" t="s">
        <v>401</v>
      </c>
      <c r="B59" s="17" t="n">
        <v>2548</v>
      </c>
      <c r="C59" s="18">
        <f>(2102.0/B59*100)</f>
        <v/>
      </c>
      <c r="D59" s="19" t="n">
        <v>446</v>
      </c>
      <c r="E59" s="18" t="n">
        <v>71.217147</v>
      </c>
      <c r="F59" s="20" t="n">
        <v>2.5383028</v>
      </c>
      <c r="G59" s="18" t="n">
        <v>26.28705765</v>
      </c>
      <c r="H59" s="20" t="n">
        <v>2.49767268</v>
      </c>
      <c r="I59" s="18" t="s">
        <v>349</v>
      </c>
      <c r="J59" s="20" t="s">
        <v>349</v>
      </c>
      <c r="K59" s="18" t="n">
        <v>2.49579536</v>
      </c>
      <c r="L59" s="20" t="n">
        <v>0.7072363</v>
      </c>
      <c r="M59" s="18" t="n">
        <v>0</v>
      </c>
      <c r="N59" s="20" t="n">
        <v>0</v>
      </c>
      <c r="O59" s="18" t="n">
        <v>0</v>
      </c>
      <c r="P59" s="20" t="n">
        <v>0</v>
      </c>
      <c r="Q59" s="18" t="n">
        <v>0</v>
      </c>
      <c r="R59" s="20" t="n">
        <v>0</v>
      </c>
    </row>
    <row r="60" spans="1:18">
      <c r="A60" s="15" t="s">
        <v>402</v>
      </c>
      <c r="B60" s="17" t="n">
        <v>2095</v>
      </c>
      <c r="C60" s="18">
        <f>(1741.0/B60*100)</f>
        <v/>
      </c>
      <c r="D60" s="19" t="n">
        <v>354</v>
      </c>
      <c r="E60" s="18" t="n">
        <v>44.1778171</v>
      </c>
      <c r="F60" s="20" t="n">
        <v>3.20373953</v>
      </c>
      <c r="G60" s="18" t="n">
        <v>45.060161</v>
      </c>
      <c r="H60" s="20" t="n">
        <v>3.2217096</v>
      </c>
      <c r="I60" s="18" t="s">
        <v>349</v>
      </c>
      <c r="J60" s="20" t="s">
        <v>349</v>
      </c>
      <c r="K60" s="18" t="n">
        <v>10.41896006</v>
      </c>
      <c r="L60" s="20" t="n">
        <v>1.91622097</v>
      </c>
      <c r="M60" s="18" t="n">
        <v>0</v>
      </c>
      <c r="N60" s="20" t="n">
        <v>0</v>
      </c>
      <c r="O60" s="18" t="n">
        <v>0.34306184</v>
      </c>
      <c r="P60" s="20" t="n">
        <v>0.24454754</v>
      </c>
      <c r="Q60" s="18" t="n">
        <v>0</v>
      </c>
      <c r="R60" s="20" t="n">
        <v>0</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(2340.0/B63*100)</f>
        <v/>
      </c>
      <c r="D63" s="19" t="n">
        <v>473</v>
      </c>
      <c r="E63" s="18" t="n">
        <v>60.85839983</v>
      </c>
      <c r="F63" s="20" t="n">
        <v>2.59640959</v>
      </c>
      <c r="G63" s="18" t="n">
        <v>30.60795617</v>
      </c>
      <c r="H63" s="20" t="n">
        <v>2.43172011</v>
      </c>
      <c r="I63" s="18" t="s">
        <v>349</v>
      </c>
      <c r="J63" s="20" t="s">
        <v>349</v>
      </c>
      <c r="K63" s="18" t="n">
        <v>8.53364399</v>
      </c>
      <c r="L63" s="20" t="n">
        <v>1.32127331</v>
      </c>
      <c r="M63" s="18" t="n">
        <v>0</v>
      </c>
      <c r="N63" s="20" t="n">
        <v>0</v>
      </c>
      <c r="O63" s="18" t="n">
        <v>0</v>
      </c>
      <c r="P63" s="20" t="n">
        <v>0</v>
      </c>
      <c r="Q63" s="18" t="n">
        <v>0</v>
      </c>
      <c r="R63" s="20" t="n">
        <v>0</v>
      </c>
    </row>
    <row r="64" spans="1:18">
      <c r="A64" s="15" t="s">
        <v>406</v>
      </c>
      <c r="B64" s="17" t="n">
        <v>1844</v>
      </c>
      <c r="C64" s="18">
        <f>(1531.0/B64*100)</f>
        <v/>
      </c>
      <c r="D64" s="19" t="n">
        <v>313</v>
      </c>
      <c r="E64" s="18" t="n">
        <v>59.26124326</v>
      </c>
      <c r="F64" s="20" t="n">
        <v>3.06689988</v>
      </c>
      <c r="G64" s="18" t="n">
        <v>33.94133876</v>
      </c>
      <c r="H64" s="20" t="n">
        <v>2.92022803</v>
      </c>
      <c r="I64" s="18" t="s">
        <v>349</v>
      </c>
      <c r="J64" s="20" t="s">
        <v>349</v>
      </c>
      <c r="K64" s="18" t="n">
        <v>6.79741798</v>
      </c>
      <c r="L64" s="20" t="n">
        <v>1.58575266</v>
      </c>
      <c r="M64" s="18" t="n">
        <v>0</v>
      </c>
      <c r="N64" s="20" t="n">
        <v>0</v>
      </c>
      <c r="O64" s="18" t="n">
        <v>0</v>
      </c>
      <c r="P64" s="20" t="n">
        <v>0</v>
      </c>
      <c r="Q64" s="18" t="n">
        <v>0</v>
      </c>
      <c r="R64" s="20" t="n">
        <v>0</v>
      </c>
    </row>
    <row r="65" spans="1:18">
      <c r="A65" s="15" t="s">
        <v>407</v>
      </c>
      <c r="B65" s="17" t="n">
        <v>2691</v>
      </c>
      <c r="C65" s="18">
        <f>(2249.0/B65*100)</f>
        <v/>
      </c>
      <c r="D65" s="19" t="n">
        <v>442</v>
      </c>
      <c r="E65" s="18" t="n">
        <v>58.3747426</v>
      </c>
      <c r="F65" s="20" t="n">
        <v>2.53000359</v>
      </c>
      <c r="G65" s="18" t="n">
        <v>29.27582441</v>
      </c>
      <c r="H65" s="20" t="n">
        <v>2.48826229</v>
      </c>
      <c r="I65" s="18" t="s">
        <v>349</v>
      </c>
      <c r="J65" s="20" t="s">
        <v>349</v>
      </c>
      <c r="K65" s="18" t="n">
        <v>12.34943299</v>
      </c>
      <c r="L65" s="20" t="n">
        <v>1.50001461</v>
      </c>
      <c r="M65" s="18" t="n">
        <v>0</v>
      </c>
      <c r="N65" s="20" t="n">
        <v>0</v>
      </c>
      <c r="O65" s="18" t="n">
        <v>0</v>
      </c>
      <c r="P65" s="20" t="n">
        <v>0</v>
      </c>
      <c r="Q65" s="18" t="n">
        <v>0</v>
      </c>
      <c r="R65" s="20" t="n">
        <v>0</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(2007.0/B69*100)</f>
        <v/>
      </c>
      <c r="D69" s="19" t="n">
        <v>403</v>
      </c>
      <c r="E69" s="18" t="n">
        <v>67.85444978</v>
      </c>
      <c r="F69" s="20" t="n">
        <v>2.12931577</v>
      </c>
      <c r="G69" s="18" t="n">
        <v>31.70496355</v>
      </c>
      <c r="H69" s="20" t="n">
        <v>2.13312111</v>
      </c>
      <c r="I69" s="18" t="s">
        <v>349</v>
      </c>
      <c r="J69" s="20" t="s">
        <v>349</v>
      </c>
      <c r="K69" s="18" t="n">
        <v>0.44058667</v>
      </c>
      <c r="L69" s="20" t="n">
        <v>0.30628692</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(1865.0/B74*100)</f>
        <v/>
      </c>
      <c r="D74" s="19" t="n">
        <v>374</v>
      </c>
      <c r="E74" s="18" t="n">
        <v>59.22828548</v>
      </c>
      <c r="F74" s="20" t="n">
        <v>2.97195941</v>
      </c>
      <c r="G74" s="18" t="n">
        <v>28.33426818</v>
      </c>
      <c r="H74" s="20" t="n">
        <v>2.72581228</v>
      </c>
      <c r="I74" s="18" t="s">
        <v>349</v>
      </c>
      <c r="J74" s="20" t="s">
        <v>349</v>
      </c>
      <c r="K74" s="18" t="n">
        <v>12.43744634</v>
      </c>
      <c r="L74" s="20" t="n">
        <v>2.03873653</v>
      </c>
      <c r="M74" s="18" t="n">
        <v>0</v>
      </c>
      <c r="N74" s="20" t="n">
        <v>0</v>
      </c>
      <c r="O74" s="18" t="n">
        <v>0</v>
      </c>
      <c r="P74" s="20" t="n">
        <v>0</v>
      </c>
      <c r="Q74" s="18" t="n">
        <v>0</v>
      </c>
      <c r="R74" s="20" t="n">
        <v>0</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(2319.0/B78*100)</f>
        <v/>
      </c>
      <c r="D78" s="19" t="n">
        <v>467</v>
      </c>
      <c r="E78" s="18" t="n">
        <v>31.72228809</v>
      </c>
      <c r="F78" s="20" t="n">
        <v>2.67032454</v>
      </c>
      <c r="G78" s="18" t="n">
        <v>68.27771190999999</v>
      </c>
      <c r="H78" s="20" t="n">
        <v>2.67032454</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(653.0/B79*100)</f>
        <v/>
      </c>
      <c r="D79" s="19" t="n">
        <v>134</v>
      </c>
      <c r="E79" s="18" t="n">
        <v>54.84661078</v>
      </c>
      <c r="F79" s="20" t="n">
        <v>4.67776414</v>
      </c>
      <c r="G79" s="18" t="n">
        <v>35.97199842</v>
      </c>
      <c r="H79" s="20" t="n">
        <v>4.66753297</v>
      </c>
      <c r="I79" s="18" t="s">
        <v>349</v>
      </c>
      <c r="J79" s="20" t="s">
        <v>349</v>
      </c>
      <c r="K79" s="18" t="n">
        <v>9.181390800000001</v>
      </c>
      <c r="L79" s="20" t="n">
        <v>2.52420619</v>
      </c>
      <c r="M79" s="18" t="n">
        <v>0</v>
      </c>
      <c r="N79" s="20" t="n">
        <v>0</v>
      </c>
      <c r="O79" s="18" t="n">
        <v>0</v>
      </c>
      <c r="P79" s="20" t="n">
        <v>0</v>
      </c>
      <c r="Q79" s="18" t="n">
        <v>0</v>
      </c>
      <c r="R79" s="20" t="n">
        <v>0</v>
      </c>
    </row>
    <row r="80" spans="1:18">
      <c r="A80" s="15" t="s">
        <v>422</v>
      </c>
      <c r="B80" s="17" t="n">
        <v>3798</v>
      </c>
      <c r="C80" s="18">
        <f>(3153.0/B80*100)</f>
        <v/>
      </c>
      <c r="D80" s="19" t="n">
        <v>645</v>
      </c>
      <c r="E80" s="18" t="n">
        <v>67.79385965</v>
      </c>
      <c r="F80" s="20" t="n">
        <v>2.3272906</v>
      </c>
      <c r="G80" s="18" t="n">
        <v>31.7698667</v>
      </c>
      <c r="H80" s="20" t="n">
        <v>2.35196086</v>
      </c>
      <c r="I80" s="18" t="s">
        <v>349</v>
      </c>
      <c r="J80" s="20" t="s">
        <v>349</v>
      </c>
      <c r="K80" s="18" t="n">
        <v>0.43627365</v>
      </c>
      <c r="L80" s="20" t="n">
        <v>0.25785718</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34.72437209</v>
      </c>
      <c r="F44" s="20" t="n">
        <v>2.80798371</v>
      </c>
      <c r="G44" s="18" t="n">
        <v>47.4122317</v>
      </c>
      <c r="H44" s="20" t="n">
        <v>2.66360094</v>
      </c>
      <c r="I44" s="18" t="s">
        <v>349</v>
      </c>
      <c r="J44" s="20" t="s">
        <v>349</v>
      </c>
      <c r="K44" s="18" t="n">
        <v>4.16886529</v>
      </c>
      <c r="L44" s="20" t="n">
        <v>1.07616362</v>
      </c>
      <c r="M44" s="18" t="n">
        <v>0</v>
      </c>
      <c r="N44" s="20" t="n">
        <v>0</v>
      </c>
      <c r="O44" s="18" t="n">
        <v>0</v>
      </c>
      <c r="P44" s="20" t="n">
        <v>0</v>
      </c>
      <c r="Q44" s="18" t="n">
        <v>13.69453092</v>
      </c>
      <c r="R44" s="20" t="n">
        <v>1.96025195</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35.73003397</v>
      </c>
      <c r="F55" s="20" t="n">
        <v>2.371051</v>
      </c>
      <c r="G55" s="18" t="n">
        <v>56.35236722</v>
      </c>
      <c r="H55" s="20" t="n">
        <v>2.46906459</v>
      </c>
      <c r="I55" s="18" t="s">
        <v>349</v>
      </c>
      <c r="J55" s="20" t="s">
        <v>349</v>
      </c>
      <c r="K55" s="18" t="n">
        <v>1.81661177</v>
      </c>
      <c r="L55" s="20" t="n">
        <v>0.64758318</v>
      </c>
      <c r="M55" s="18" t="n">
        <v>0</v>
      </c>
      <c r="N55" s="20" t="n">
        <v>0</v>
      </c>
      <c r="O55" s="18" t="n">
        <v>0</v>
      </c>
      <c r="P55" s="20" t="n">
        <v>0</v>
      </c>
      <c r="Q55" s="18" t="n">
        <v>6.10098704</v>
      </c>
      <c r="R55" s="20" t="n">
        <v>1.23443502</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43.36607608</v>
      </c>
      <c r="F57" s="20" t="n">
        <v>2.46237263</v>
      </c>
      <c r="G57" s="18" t="n">
        <v>49.98338604</v>
      </c>
      <c r="H57" s="20" t="n">
        <v>2.4142239</v>
      </c>
      <c r="I57" s="18" t="s">
        <v>349</v>
      </c>
      <c r="J57" s="20" t="s">
        <v>349</v>
      </c>
      <c r="K57" s="18" t="n">
        <v>0.52671771</v>
      </c>
      <c r="L57" s="20" t="n">
        <v>0.33758699</v>
      </c>
      <c r="M57" s="18" t="n">
        <v>0</v>
      </c>
      <c r="N57" s="20" t="n">
        <v>0</v>
      </c>
      <c r="O57" s="18" t="n">
        <v>0</v>
      </c>
      <c r="P57" s="20" t="n">
        <v>0</v>
      </c>
      <c r="Q57" s="18" t="n">
        <v>6.12382017</v>
      </c>
      <c r="R57" s="20" t="n">
        <v>1.55346825</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18.55921867</v>
      </c>
      <c r="F64" s="20" t="n">
        <v>2.28034791</v>
      </c>
      <c r="G64" s="18" t="n">
        <v>73.37588718000001</v>
      </c>
      <c r="H64" s="20" t="n">
        <v>2.7455438</v>
      </c>
      <c r="I64" s="18" t="s">
        <v>349</v>
      </c>
      <c r="J64" s="20" t="s">
        <v>349</v>
      </c>
      <c r="K64" s="18" t="n">
        <v>2.3875979</v>
      </c>
      <c r="L64" s="20" t="n">
        <v>0.7972627</v>
      </c>
      <c r="M64" s="18" t="n">
        <v>0</v>
      </c>
      <c r="N64" s="20" t="n">
        <v>0</v>
      </c>
      <c r="O64" s="18" t="n">
        <v>0.28836719</v>
      </c>
      <c r="P64" s="20" t="n">
        <v>0.28300162</v>
      </c>
      <c r="Q64" s="18" t="n">
        <v>5.38892906</v>
      </c>
      <c r="R64" s="20" t="n">
        <v>1.36722829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45.43845546</v>
      </c>
      <c r="F44" s="20" t="n">
        <v>2.74903158</v>
      </c>
      <c r="G44" s="18" t="n">
        <v>20.05918495</v>
      </c>
      <c r="H44" s="20" t="n">
        <v>2.93637394</v>
      </c>
      <c r="I44" s="18" t="s">
        <v>349</v>
      </c>
      <c r="J44" s="20" t="s">
        <v>349</v>
      </c>
      <c r="K44" s="18" t="n">
        <v>5.94996663</v>
      </c>
      <c r="L44" s="20" t="n">
        <v>1.13080418</v>
      </c>
      <c r="M44" s="18" t="n">
        <v>0</v>
      </c>
      <c r="N44" s="20" t="n">
        <v>0</v>
      </c>
      <c r="O44" s="18" t="n">
        <v>0</v>
      </c>
      <c r="P44" s="20" t="n">
        <v>0</v>
      </c>
      <c r="Q44" s="18" t="n">
        <v>28.55239295</v>
      </c>
      <c r="R44" s="20" t="n">
        <v>2.56889479</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60.23145101</v>
      </c>
      <c r="F55" s="20" t="n">
        <v>2.61640416</v>
      </c>
      <c r="G55" s="18" t="n">
        <v>15.15422327</v>
      </c>
      <c r="H55" s="20" t="n">
        <v>2.08032811</v>
      </c>
      <c r="I55" s="18" t="s">
        <v>349</v>
      </c>
      <c r="J55" s="20" t="s">
        <v>349</v>
      </c>
      <c r="K55" s="18" t="n">
        <v>2.91231015</v>
      </c>
      <c r="L55" s="20" t="n">
        <v>0.81494943</v>
      </c>
      <c r="M55" s="18" t="n">
        <v>0</v>
      </c>
      <c r="N55" s="20" t="n">
        <v>0</v>
      </c>
      <c r="O55" s="18" t="n">
        <v>0.6528407000000001</v>
      </c>
      <c r="P55" s="20" t="n">
        <v>0.50159672</v>
      </c>
      <c r="Q55" s="18" t="n">
        <v>21.04917487</v>
      </c>
      <c r="R55" s="20" t="n">
        <v>2.1359724</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73.44255246</v>
      </c>
      <c r="F57" s="20" t="n">
        <v>2.14926187</v>
      </c>
      <c r="G57" s="18" t="n">
        <v>20.30647508</v>
      </c>
      <c r="H57" s="20" t="n">
        <v>1.90505612</v>
      </c>
      <c r="I57" s="18" t="s">
        <v>349</v>
      </c>
      <c r="J57" s="20" t="s">
        <v>349</v>
      </c>
      <c r="K57" s="18" t="n">
        <v>1.14600595</v>
      </c>
      <c r="L57" s="20" t="n">
        <v>0.53482911</v>
      </c>
      <c r="M57" s="18" t="n">
        <v>0</v>
      </c>
      <c r="N57" s="20" t="n">
        <v>0</v>
      </c>
      <c r="O57" s="18" t="n">
        <v>0</v>
      </c>
      <c r="P57" s="20" t="n">
        <v>0</v>
      </c>
      <c r="Q57" s="18" t="n">
        <v>5.10496651</v>
      </c>
      <c r="R57" s="20" t="n">
        <v>1.22747543</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30.56701777</v>
      </c>
      <c r="F64" s="20" t="n">
        <v>2.74829337</v>
      </c>
      <c r="G64" s="18" t="n">
        <v>54.02926405</v>
      </c>
      <c r="H64" s="20" t="n">
        <v>2.99510734</v>
      </c>
      <c r="I64" s="18" t="s">
        <v>349</v>
      </c>
      <c r="J64" s="20" t="s">
        <v>349</v>
      </c>
      <c r="K64" s="18" t="n">
        <v>2.3875979</v>
      </c>
      <c r="L64" s="20" t="n">
        <v>0.7972627</v>
      </c>
      <c r="M64" s="18" t="n">
        <v>0</v>
      </c>
      <c r="N64" s="20" t="n">
        <v>0</v>
      </c>
      <c r="O64" s="18" t="n">
        <v>0</v>
      </c>
      <c r="P64" s="20" t="n">
        <v>0</v>
      </c>
      <c r="Q64" s="18" t="n">
        <v>13.01612027</v>
      </c>
      <c r="R64" s="20" t="n">
        <v>1.92544035</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27.20766457</v>
      </c>
      <c r="F44" s="20" t="n">
        <v>2.34279444</v>
      </c>
      <c r="G44" s="18" t="n">
        <v>54.44906435</v>
      </c>
      <c r="H44" s="20" t="n">
        <v>3.09302889</v>
      </c>
      <c r="I44" s="18" t="s">
        <v>349</v>
      </c>
      <c r="J44" s="20" t="s">
        <v>349</v>
      </c>
      <c r="K44" s="18" t="n">
        <v>7.26762477</v>
      </c>
      <c r="L44" s="20" t="n">
        <v>1.38565747</v>
      </c>
      <c r="M44" s="18" t="n">
        <v>0</v>
      </c>
      <c r="N44" s="20" t="n">
        <v>0</v>
      </c>
      <c r="O44" s="18" t="n">
        <v>0</v>
      </c>
      <c r="P44" s="20" t="n">
        <v>0</v>
      </c>
      <c r="Q44" s="18" t="n">
        <v>11.0756463</v>
      </c>
      <c r="R44" s="20" t="n">
        <v>1.81439985</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33.46620554</v>
      </c>
      <c r="F55" s="20" t="n">
        <v>2.74138261</v>
      </c>
      <c r="G55" s="18" t="n">
        <v>51.85694743</v>
      </c>
      <c r="H55" s="20" t="n">
        <v>3.16229586</v>
      </c>
      <c r="I55" s="18" t="s">
        <v>349</v>
      </c>
      <c r="J55" s="20" t="s">
        <v>349</v>
      </c>
      <c r="K55" s="18" t="n">
        <v>3.08968571</v>
      </c>
      <c r="L55" s="20" t="n">
        <v>0.83019931</v>
      </c>
      <c r="M55" s="18" t="n">
        <v>0</v>
      </c>
      <c r="N55" s="20" t="n">
        <v>0</v>
      </c>
      <c r="O55" s="18" t="n">
        <v>0</v>
      </c>
      <c r="P55" s="20" t="n">
        <v>0</v>
      </c>
      <c r="Q55" s="18" t="n">
        <v>11.58716131</v>
      </c>
      <c r="R55" s="20" t="n">
        <v>1.79739815</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60.24887385</v>
      </c>
      <c r="F57" s="20" t="n">
        <v>2.78424634</v>
      </c>
      <c r="G57" s="18" t="n">
        <v>34.62315651</v>
      </c>
      <c r="H57" s="20" t="n">
        <v>2.64161534</v>
      </c>
      <c r="I57" s="18" t="s">
        <v>349</v>
      </c>
      <c r="J57" s="20" t="s">
        <v>349</v>
      </c>
      <c r="K57" s="18" t="n">
        <v>1.33138402</v>
      </c>
      <c r="L57" s="20" t="n">
        <v>0.56798274</v>
      </c>
      <c r="M57" s="18" t="n">
        <v>0</v>
      </c>
      <c r="N57" s="20" t="n">
        <v>0</v>
      </c>
      <c r="O57" s="18" t="n">
        <v>0</v>
      </c>
      <c r="P57" s="20" t="n">
        <v>0</v>
      </c>
      <c r="Q57" s="18" t="n">
        <v>3.79658563</v>
      </c>
      <c r="R57" s="20" t="n">
        <v>1.02999117</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16.79911326</v>
      </c>
      <c r="F64" s="20" t="n">
        <v>2.34269372</v>
      </c>
      <c r="G64" s="18" t="n">
        <v>76.87838677000001</v>
      </c>
      <c r="H64" s="20" t="n">
        <v>2.6647838</v>
      </c>
      <c r="I64" s="18" t="s">
        <v>349</v>
      </c>
      <c r="J64" s="20" t="s">
        <v>349</v>
      </c>
      <c r="K64" s="18" t="n">
        <v>4.08362539</v>
      </c>
      <c r="L64" s="20" t="n">
        <v>1.10442768</v>
      </c>
      <c r="M64" s="18" t="n">
        <v>0</v>
      </c>
      <c r="N64" s="20" t="n">
        <v>0</v>
      </c>
      <c r="O64" s="18" t="n">
        <v>0</v>
      </c>
      <c r="P64" s="20" t="n">
        <v>0</v>
      </c>
      <c r="Q64" s="18" t="n">
        <v>2.23887459</v>
      </c>
      <c r="R64" s="20" t="n">
        <v>0.62146908</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55.00498921</v>
      </c>
      <c r="F44" s="20" t="n">
        <v>2.92002242</v>
      </c>
      <c r="G44" s="18" t="n">
        <v>19.54173593</v>
      </c>
      <c r="H44" s="20" t="n">
        <v>2.52075878</v>
      </c>
      <c r="I44" s="18" t="s">
        <v>349</v>
      </c>
      <c r="J44" s="20" t="s">
        <v>349</v>
      </c>
      <c r="K44" s="18" t="n">
        <v>9.796915520000001</v>
      </c>
      <c r="L44" s="20" t="n">
        <v>1.74920475</v>
      </c>
      <c r="M44" s="18" t="n">
        <v>0</v>
      </c>
      <c r="N44" s="20" t="n">
        <v>0</v>
      </c>
      <c r="O44" s="18" t="n">
        <v>0</v>
      </c>
      <c r="P44" s="20" t="n">
        <v>0</v>
      </c>
      <c r="Q44" s="18" t="n">
        <v>15.65635934</v>
      </c>
      <c r="R44" s="20" t="n">
        <v>2.33511598</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68.11362407999999</v>
      </c>
      <c r="F55" s="20" t="n">
        <v>2.1047798</v>
      </c>
      <c r="G55" s="18" t="n">
        <v>15.10524893</v>
      </c>
      <c r="H55" s="20" t="n">
        <v>1.76669187</v>
      </c>
      <c r="I55" s="18" t="s">
        <v>349</v>
      </c>
      <c r="J55" s="20" t="s">
        <v>349</v>
      </c>
      <c r="K55" s="18" t="n">
        <v>3.29716421</v>
      </c>
      <c r="L55" s="20" t="n">
        <v>0.8535312</v>
      </c>
      <c r="M55" s="18" t="n">
        <v>0</v>
      </c>
      <c r="N55" s="20" t="n">
        <v>0</v>
      </c>
      <c r="O55" s="18" t="n">
        <v>0</v>
      </c>
      <c r="P55" s="20" t="n">
        <v>0</v>
      </c>
      <c r="Q55" s="18" t="n">
        <v>13.48396278</v>
      </c>
      <c r="R55" s="20" t="n">
        <v>1.79745361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78.59184049</v>
      </c>
      <c r="F57" s="20" t="n">
        <v>1.82817066</v>
      </c>
      <c r="G57" s="18" t="n">
        <v>16.29780752</v>
      </c>
      <c r="H57" s="20" t="n">
        <v>1.60504049</v>
      </c>
      <c r="I57" s="18" t="s">
        <v>349</v>
      </c>
      <c r="J57" s="20" t="s">
        <v>349</v>
      </c>
      <c r="K57" s="18" t="n">
        <v>1.89311725</v>
      </c>
      <c r="L57" s="20" t="n">
        <v>0.6435554999999999</v>
      </c>
      <c r="M57" s="18" t="n">
        <v>0</v>
      </c>
      <c r="N57" s="20" t="n">
        <v>0</v>
      </c>
      <c r="O57" s="18" t="n">
        <v>0</v>
      </c>
      <c r="P57" s="20" t="n">
        <v>0</v>
      </c>
      <c r="Q57" s="18" t="n">
        <v>3.21723473</v>
      </c>
      <c r="R57" s="20" t="n">
        <v>0.98128485</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51.61922019</v>
      </c>
      <c r="F64" s="20" t="n">
        <v>2.9567454</v>
      </c>
      <c r="G64" s="18" t="n">
        <v>36.97884566</v>
      </c>
      <c r="H64" s="20" t="n">
        <v>3.03831873</v>
      </c>
      <c r="I64" s="18" t="s">
        <v>349</v>
      </c>
      <c r="J64" s="20" t="s">
        <v>349</v>
      </c>
      <c r="K64" s="18" t="n">
        <v>4.75364242</v>
      </c>
      <c r="L64" s="20" t="n">
        <v>1.22266688</v>
      </c>
      <c r="M64" s="18" t="n">
        <v>0</v>
      </c>
      <c r="N64" s="20" t="n">
        <v>0</v>
      </c>
      <c r="O64" s="18" t="n">
        <v>0</v>
      </c>
      <c r="P64" s="20" t="n">
        <v>0</v>
      </c>
      <c r="Q64" s="18" t="n">
        <v>6.64829173</v>
      </c>
      <c r="R64" s="20" t="n">
        <v>1.4042963</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28.7078737</v>
      </c>
      <c r="F44" s="20" t="n">
        <v>2.36817102</v>
      </c>
      <c r="G44" s="18" t="n">
        <v>44.60021203</v>
      </c>
      <c r="H44" s="20" t="n">
        <v>3.21134051</v>
      </c>
      <c r="I44" s="18" t="s">
        <v>349</v>
      </c>
      <c r="J44" s="20" t="s">
        <v>349</v>
      </c>
      <c r="K44" s="18" t="n">
        <v>12.3899401</v>
      </c>
      <c r="L44" s="20" t="n">
        <v>1.8209231</v>
      </c>
      <c r="M44" s="18" t="n">
        <v>0</v>
      </c>
      <c r="N44" s="20" t="n">
        <v>0</v>
      </c>
      <c r="O44" s="18" t="n">
        <v>0</v>
      </c>
      <c r="P44" s="20" t="n">
        <v>0</v>
      </c>
      <c r="Q44" s="18" t="n">
        <v>14.30197417</v>
      </c>
      <c r="R44" s="20" t="n">
        <v>2.19245845</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42.85160477</v>
      </c>
      <c r="F55" s="20" t="n">
        <v>2.61286469</v>
      </c>
      <c r="G55" s="18" t="n">
        <v>34.4873981</v>
      </c>
      <c r="H55" s="20" t="n">
        <v>2.43987833</v>
      </c>
      <c r="I55" s="18" t="s">
        <v>349</v>
      </c>
      <c r="J55" s="20" t="s">
        <v>349</v>
      </c>
      <c r="K55" s="18" t="n">
        <v>4.6538495</v>
      </c>
      <c r="L55" s="20" t="n">
        <v>1.06309001</v>
      </c>
      <c r="M55" s="18" t="n">
        <v>0</v>
      </c>
      <c r="N55" s="20" t="n">
        <v>0</v>
      </c>
      <c r="O55" s="18" t="n">
        <v>0</v>
      </c>
      <c r="P55" s="20" t="n">
        <v>0</v>
      </c>
      <c r="Q55" s="18" t="n">
        <v>18.00714763</v>
      </c>
      <c r="R55" s="20" t="n">
        <v>1.84243893</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64.49921344000001</v>
      </c>
      <c r="F57" s="20" t="n">
        <v>2.61485856</v>
      </c>
      <c r="G57" s="18" t="n">
        <v>29.21148007</v>
      </c>
      <c r="H57" s="20" t="n">
        <v>2.56980298</v>
      </c>
      <c r="I57" s="18" t="s">
        <v>349</v>
      </c>
      <c r="J57" s="20" t="s">
        <v>349</v>
      </c>
      <c r="K57" s="18" t="n">
        <v>2.08623923</v>
      </c>
      <c r="L57" s="20" t="n">
        <v>0.66495358</v>
      </c>
      <c r="M57" s="18" t="n">
        <v>0</v>
      </c>
      <c r="N57" s="20" t="n">
        <v>0</v>
      </c>
      <c r="O57" s="18" t="n">
        <v>0</v>
      </c>
      <c r="P57" s="20" t="n">
        <v>0</v>
      </c>
      <c r="Q57" s="18" t="n">
        <v>4.20306726</v>
      </c>
      <c r="R57" s="20" t="n">
        <v>1.01084756</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26.04676876</v>
      </c>
      <c r="F64" s="20" t="n">
        <v>2.69404703</v>
      </c>
      <c r="G64" s="18" t="n">
        <v>61.84367423</v>
      </c>
      <c r="H64" s="20" t="n">
        <v>3.00924658</v>
      </c>
      <c r="I64" s="18" t="s">
        <v>349</v>
      </c>
      <c r="J64" s="20" t="s">
        <v>349</v>
      </c>
      <c r="K64" s="18" t="n">
        <v>4.75364242</v>
      </c>
      <c r="L64" s="20" t="n">
        <v>1.22266688</v>
      </c>
      <c r="M64" s="18" t="n">
        <v>0</v>
      </c>
      <c r="N64" s="20" t="n">
        <v>0</v>
      </c>
      <c r="O64" s="18" t="n">
        <v>0</v>
      </c>
      <c r="P64" s="20" t="n">
        <v>0</v>
      </c>
      <c r="Q64" s="18" t="n">
        <v>7.35591459</v>
      </c>
      <c r="R64" s="20" t="n">
        <v>1.62648999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50.8258918</v>
      </c>
      <c r="F44" s="20" t="n">
        <v>3.28511039</v>
      </c>
      <c r="G44" s="18" t="n">
        <v>6.84750374</v>
      </c>
      <c r="H44" s="20" t="n">
        <v>1.30768659</v>
      </c>
      <c r="I44" s="18" t="s">
        <v>349</v>
      </c>
      <c r="J44" s="20" t="s">
        <v>349</v>
      </c>
      <c r="K44" s="18" t="n">
        <v>14.2445058</v>
      </c>
      <c r="L44" s="20" t="n">
        <v>1.90545807</v>
      </c>
      <c r="M44" s="18" t="n">
        <v>0</v>
      </c>
      <c r="N44" s="20" t="n">
        <v>0</v>
      </c>
      <c r="O44" s="18" t="n">
        <v>0</v>
      </c>
      <c r="P44" s="20" t="n">
        <v>0</v>
      </c>
      <c r="Q44" s="18" t="n">
        <v>28.08209866</v>
      </c>
      <c r="R44" s="20" t="n">
        <v>2.61991164</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36.87455569</v>
      </c>
      <c r="F55" s="20" t="n">
        <v>2.43719457</v>
      </c>
      <c r="G55" s="18" t="n">
        <v>17.13337388</v>
      </c>
      <c r="H55" s="20" t="n">
        <v>1.86014344</v>
      </c>
      <c r="I55" s="18" t="s">
        <v>349</v>
      </c>
      <c r="J55" s="20" t="s">
        <v>349</v>
      </c>
      <c r="K55" s="18" t="n">
        <v>5.35415549</v>
      </c>
      <c r="L55" s="20" t="n">
        <v>1.10718389</v>
      </c>
      <c r="M55" s="18" t="n">
        <v>0</v>
      </c>
      <c r="N55" s="20" t="n">
        <v>0</v>
      </c>
      <c r="O55" s="18" t="n">
        <v>0</v>
      </c>
      <c r="P55" s="20" t="n">
        <v>0</v>
      </c>
      <c r="Q55" s="18" t="n">
        <v>40.63791495</v>
      </c>
      <c r="R55" s="20" t="n">
        <v>2.53316756</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84.79711166</v>
      </c>
      <c r="F57" s="20" t="n">
        <v>1.8712509</v>
      </c>
      <c r="G57" s="18" t="n">
        <v>5.4466434</v>
      </c>
      <c r="H57" s="20" t="n">
        <v>1.00741628</v>
      </c>
      <c r="I57" s="18" t="s">
        <v>349</v>
      </c>
      <c r="J57" s="20" t="s">
        <v>349</v>
      </c>
      <c r="K57" s="18" t="n">
        <v>2.42153284</v>
      </c>
      <c r="L57" s="20" t="n">
        <v>0.73883952</v>
      </c>
      <c r="M57" s="18" t="n">
        <v>0</v>
      </c>
      <c r="N57" s="20" t="n">
        <v>0</v>
      </c>
      <c r="O57" s="18" t="n">
        <v>0</v>
      </c>
      <c r="P57" s="20" t="n">
        <v>0</v>
      </c>
      <c r="Q57" s="18" t="n">
        <v>7.3347121</v>
      </c>
      <c r="R57" s="20" t="n">
        <v>1.28494708</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50.127873</v>
      </c>
      <c r="F64" s="20" t="n">
        <v>2.84332542</v>
      </c>
      <c r="G64" s="18" t="n">
        <v>25.5141326</v>
      </c>
      <c r="H64" s="20" t="n">
        <v>2.48713513</v>
      </c>
      <c r="I64" s="18" t="s">
        <v>349</v>
      </c>
      <c r="J64" s="20" t="s">
        <v>349</v>
      </c>
      <c r="K64" s="18" t="n">
        <v>5.74983021</v>
      </c>
      <c r="L64" s="20" t="n">
        <v>1.37686654</v>
      </c>
      <c r="M64" s="18" t="n">
        <v>0</v>
      </c>
      <c r="N64" s="20" t="n">
        <v>0</v>
      </c>
      <c r="O64" s="18" t="n">
        <v>0.31826949</v>
      </c>
      <c r="P64" s="20" t="n">
        <v>0.31685832</v>
      </c>
      <c r="Q64" s="18" t="n">
        <v>18.28989471</v>
      </c>
      <c r="R64" s="20" t="n">
        <v>2.1465915</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45.72592362</v>
      </c>
      <c r="F44" s="20" t="n">
        <v>2.76809281</v>
      </c>
      <c r="G44" s="18" t="n">
        <v>8.57043953</v>
      </c>
      <c r="H44" s="20" t="n">
        <v>2.04933466</v>
      </c>
      <c r="I44" s="18" t="s">
        <v>349</v>
      </c>
      <c r="J44" s="20" t="s">
        <v>349</v>
      </c>
      <c r="K44" s="18" t="n">
        <v>14.35572126</v>
      </c>
      <c r="L44" s="20" t="n">
        <v>1.91054587</v>
      </c>
      <c r="M44" s="18" t="n">
        <v>0</v>
      </c>
      <c r="N44" s="20" t="n">
        <v>0</v>
      </c>
      <c r="O44" s="18" t="n">
        <v>0</v>
      </c>
      <c r="P44" s="20" t="n">
        <v>0</v>
      </c>
      <c r="Q44" s="18" t="n">
        <v>31.34791558</v>
      </c>
      <c r="R44" s="20" t="n">
        <v>3.01862267</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48.72584106</v>
      </c>
      <c r="F55" s="20" t="n">
        <v>2.62116881</v>
      </c>
      <c r="G55" s="18" t="n">
        <v>4.80687291</v>
      </c>
      <c r="H55" s="20" t="n">
        <v>1.19419201</v>
      </c>
      <c r="I55" s="18" t="s">
        <v>349</v>
      </c>
      <c r="J55" s="20" t="s">
        <v>349</v>
      </c>
      <c r="K55" s="18" t="n">
        <v>5.85530401</v>
      </c>
      <c r="L55" s="20" t="n">
        <v>1.17083144</v>
      </c>
      <c r="M55" s="18" t="n">
        <v>0</v>
      </c>
      <c r="N55" s="20" t="n">
        <v>0</v>
      </c>
      <c r="O55" s="18" t="n">
        <v>0</v>
      </c>
      <c r="P55" s="20" t="n">
        <v>0</v>
      </c>
      <c r="Q55" s="18" t="n">
        <v>40.61198202</v>
      </c>
      <c r="R55" s="20" t="n">
        <v>2.78944517</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83.24540174000001</v>
      </c>
      <c r="F57" s="20" t="n">
        <v>1.77713098</v>
      </c>
      <c r="G57" s="18" t="n">
        <v>3.05427812</v>
      </c>
      <c r="H57" s="20" t="n">
        <v>0.76102788</v>
      </c>
      <c r="I57" s="18" t="s">
        <v>349</v>
      </c>
      <c r="J57" s="20" t="s">
        <v>349</v>
      </c>
      <c r="K57" s="18" t="n">
        <v>2.74497175</v>
      </c>
      <c r="L57" s="20" t="n">
        <v>0.7786755400000001</v>
      </c>
      <c r="M57" s="18" t="n">
        <v>0</v>
      </c>
      <c r="N57" s="20" t="n">
        <v>0</v>
      </c>
      <c r="O57" s="18" t="n">
        <v>0</v>
      </c>
      <c r="P57" s="20" t="n">
        <v>0</v>
      </c>
      <c r="Q57" s="18" t="n">
        <v>10.95534839</v>
      </c>
      <c r="R57" s="20" t="n">
        <v>1.49086665</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45.19028801</v>
      </c>
      <c r="F64" s="20" t="n">
        <v>2.72598724</v>
      </c>
      <c r="G64" s="18" t="n">
        <v>32.9210003</v>
      </c>
      <c r="H64" s="20" t="n">
        <v>2.19406177</v>
      </c>
      <c r="I64" s="18" t="s">
        <v>349</v>
      </c>
      <c r="J64" s="20" t="s">
        <v>349</v>
      </c>
      <c r="K64" s="18" t="n">
        <v>6.41804289</v>
      </c>
      <c r="L64" s="20" t="n">
        <v>1.45052869</v>
      </c>
      <c r="M64" s="18" t="n">
        <v>0</v>
      </c>
      <c r="N64" s="20" t="n">
        <v>0</v>
      </c>
      <c r="O64" s="18" t="n">
        <v>0</v>
      </c>
      <c r="P64" s="20" t="n">
        <v>0</v>
      </c>
      <c r="Q64" s="18" t="n">
        <v>15.4706688</v>
      </c>
      <c r="R64" s="20" t="n">
        <v>2.07723429</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32.19385196</v>
      </c>
      <c r="F44" s="20" t="n">
        <v>2.81857418</v>
      </c>
      <c r="G44" s="18" t="n">
        <v>40.18060756</v>
      </c>
      <c r="H44" s="20" t="n">
        <v>2.94602548</v>
      </c>
      <c r="I44" s="18" t="s">
        <v>349</v>
      </c>
      <c r="J44" s="20" t="s">
        <v>349</v>
      </c>
      <c r="K44" s="18" t="n">
        <v>15.59619488</v>
      </c>
      <c r="L44" s="20" t="n">
        <v>2.01747094</v>
      </c>
      <c r="M44" s="18" t="n">
        <v>0</v>
      </c>
      <c r="N44" s="20" t="n">
        <v>0</v>
      </c>
      <c r="O44" s="18" t="n">
        <v>0.7694309499999999</v>
      </c>
      <c r="P44" s="20" t="n">
        <v>0.39729268</v>
      </c>
      <c r="Q44" s="18" t="n">
        <v>11.25991465</v>
      </c>
      <c r="R44" s="20" t="n">
        <v>1.64771581</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52.00553652</v>
      </c>
      <c r="F55" s="20" t="n">
        <v>2.57517635</v>
      </c>
      <c r="G55" s="18" t="n">
        <v>38.34258033</v>
      </c>
      <c r="H55" s="20" t="n">
        <v>2.49633021</v>
      </c>
      <c r="I55" s="18" t="s">
        <v>349</v>
      </c>
      <c r="J55" s="20" t="s">
        <v>349</v>
      </c>
      <c r="K55" s="18" t="n">
        <v>6.46882654</v>
      </c>
      <c r="L55" s="20" t="n">
        <v>1.20378387</v>
      </c>
      <c r="M55" s="18" t="n">
        <v>0</v>
      </c>
      <c r="N55" s="20" t="n">
        <v>0</v>
      </c>
      <c r="O55" s="18" t="n">
        <v>0.79568655</v>
      </c>
      <c r="P55" s="20" t="n">
        <v>0.39167917</v>
      </c>
      <c r="Q55" s="18" t="n">
        <v>2.38737006</v>
      </c>
      <c r="R55" s="20" t="n">
        <v>0.7645367199999999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64.77414984000001</v>
      </c>
      <c r="F57" s="20" t="n">
        <v>2.0620543</v>
      </c>
      <c r="G57" s="18" t="n">
        <v>29.15630882</v>
      </c>
      <c r="H57" s="20" t="n">
        <v>2.03534393</v>
      </c>
      <c r="I57" s="18" t="s">
        <v>349</v>
      </c>
      <c r="J57" s="20" t="s">
        <v>349</v>
      </c>
      <c r="K57" s="18" t="n">
        <v>3.31651484</v>
      </c>
      <c r="L57" s="20" t="n">
        <v>0.88143229</v>
      </c>
      <c r="M57" s="18" t="n">
        <v>0</v>
      </c>
      <c r="N57" s="20" t="n">
        <v>0</v>
      </c>
      <c r="O57" s="18" t="n">
        <v>0</v>
      </c>
      <c r="P57" s="20" t="n">
        <v>0</v>
      </c>
      <c r="Q57" s="18" t="n">
        <v>2.7530265</v>
      </c>
      <c r="R57" s="20" t="n">
        <v>0.81785789</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39.66766643</v>
      </c>
      <c r="F64" s="20" t="n">
        <v>2.57191028</v>
      </c>
      <c r="G64" s="18" t="n">
        <v>44.13711338</v>
      </c>
      <c r="H64" s="20" t="n">
        <v>3.08003809</v>
      </c>
      <c r="I64" s="18" t="s">
        <v>349</v>
      </c>
      <c r="J64" s="20" t="s">
        <v>349</v>
      </c>
      <c r="K64" s="18" t="n">
        <v>6.76682986</v>
      </c>
      <c r="L64" s="20" t="n">
        <v>1.49244706</v>
      </c>
      <c r="M64" s="18" t="n">
        <v>0</v>
      </c>
      <c r="N64" s="20" t="n">
        <v>0</v>
      </c>
      <c r="O64" s="18" t="n">
        <v>2.24533676</v>
      </c>
      <c r="P64" s="20" t="n">
        <v>0.83661053</v>
      </c>
      <c r="Q64" s="18" t="n">
        <v>7.18305357</v>
      </c>
      <c r="R64" s="20" t="n">
        <v>1.62641521</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39.33107788</v>
      </c>
      <c r="F44" s="20" t="n">
        <v>2.96985879</v>
      </c>
      <c r="G44" s="18" t="n">
        <v>6.55912697</v>
      </c>
      <c r="H44" s="20" t="n">
        <v>1.32845201</v>
      </c>
      <c r="I44" s="18" t="s">
        <v>349</v>
      </c>
      <c r="J44" s="20" t="s">
        <v>349</v>
      </c>
      <c r="K44" s="18" t="n">
        <v>22.62319993</v>
      </c>
      <c r="L44" s="20" t="n">
        <v>2.32730385</v>
      </c>
      <c r="M44" s="18" t="n">
        <v>0</v>
      </c>
      <c r="N44" s="20" t="n">
        <v>0</v>
      </c>
      <c r="O44" s="18" t="n">
        <v>0</v>
      </c>
      <c r="P44" s="20" t="n">
        <v>0</v>
      </c>
      <c r="Q44" s="18" t="n">
        <v>31.48659522</v>
      </c>
      <c r="R44" s="20" t="n">
        <v>2.45698917</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59.00649035</v>
      </c>
      <c r="F55" s="20" t="n">
        <v>2.38423872</v>
      </c>
      <c r="G55" s="18" t="n">
        <v>1.87034834</v>
      </c>
      <c r="H55" s="20" t="n">
        <v>0.91019254</v>
      </c>
      <c r="I55" s="18" t="s">
        <v>349</v>
      </c>
      <c r="J55" s="20" t="s">
        <v>349</v>
      </c>
      <c r="K55" s="18" t="n">
        <v>18.98814679</v>
      </c>
      <c r="L55" s="20" t="n">
        <v>1.90066308</v>
      </c>
      <c r="M55" s="18" t="n">
        <v>0</v>
      </c>
      <c r="N55" s="20" t="n">
        <v>0</v>
      </c>
      <c r="O55" s="18" t="n">
        <v>0.20009208</v>
      </c>
      <c r="P55" s="20" t="n">
        <v>0.19446297</v>
      </c>
      <c r="Q55" s="18" t="n">
        <v>19.93492244</v>
      </c>
      <c r="R55" s="20" t="n">
        <v>2.08129601</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87.51262525999999</v>
      </c>
      <c r="F57" s="20" t="n">
        <v>1.79253395</v>
      </c>
      <c r="G57" s="18" t="n">
        <v>1.41221323</v>
      </c>
      <c r="H57" s="20" t="n">
        <v>0.78087735</v>
      </c>
      <c r="I57" s="18" t="s">
        <v>349</v>
      </c>
      <c r="J57" s="20" t="s">
        <v>349</v>
      </c>
      <c r="K57" s="18" t="n">
        <v>5.84339203</v>
      </c>
      <c r="L57" s="20" t="n">
        <v>1.30218676</v>
      </c>
      <c r="M57" s="18" t="n">
        <v>0</v>
      </c>
      <c r="N57" s="20" t="n">
        <v>0</v>
      </c>
      <c r="O57" s="18" t="n">
        <v>0</v>
      </c>
      <c r="P57" s="20" t="n">
        <v>0</v>
      </c>
      <c r="Q57" s="18" t="n">
        <v>5.23176948</v>
      </c>
      <c r="R57" s="20" t="n">
        <v>1.08523896</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61.51836034</v>
      </c>
      <c r="F64" s="20" t="n">
        <v>2.40226836</v>
      </c>
      <c r="G64" s="18" t="n">
        <v>6.29346277</v>
      </c>
      <c r="H64" s="20" t="n">
        <v>1.61541521</v>
      </c>
      <c r="I64" s="18" t="s">
        <v>349</v>
      </c>
      <c r="J64" s="20" t="s">
        <v>349</v>
      </c>
      <c r="K64" s="18" t="n">
        <v>11.89150198</v>
      </c>
      <c r="L64" s="20" t="n">
        <v>1.90889993</v>
      </c>
      <c r="M64" s="18" t="n">
        <v>0</v>
      </c>
      <c r="N64" s="20" t="n">
        <v>0</v>
      </c>
      <c r="O64" s="18" t="n">
        <v>0</v>
      </c>
      <c r="P64" s="20" t="n">
        <v>0</v>
      </c>
      <c r="Q64" s="18" t="n">
        <v>20.29667491</v>
      </c>
      <c r="R64" s="20" t="n">
        <v>2.28785873</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36.426253</v>
      </c>
      <c r="F44" s="20" t="n">
        <v>2.73922407</v>
      </c>
      <c r="G44" s="18" t="n">
        <v>29.46817645</v>
      </c>
      <c r="H44" s="20" t="n">
        <v>2.72893908</v>
      </c>
      <c r="I44" s="18" t="s">
        <v>349</v>
      </c>
      <c r="J44" s="20" t="s">
        <v>349</v>
      </c>
      <c r="K44" s="18" t="n">
        <v>26.47513286</v>
      </c>
      <c r="L44" s="20" t="n">
        <v>2.41463073</v>
      </c>
      <c r="M44" s="18" t="n">
        <v>0</v>
      </c>
      <c r="N44" s="20" t="n">
        <v>0</v>
      </c>
      <c r="O44" s="18" t="n">
        <v>0</v>
      </c>
      <c r="P44" s="20" t="n">
        <v>0</v>
      </c>
      <c r="Q44" s="18" t="n">
        <v>7.63043768</v>
      </c>
      <c r="R44" s="20" t="n">
        <v>1.42286073</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49.68750076</v>
      </c>
      <c r="F55" s="20" t="n">
        <v>2.36884278</v>
      </c>
      <c r="G55" s="18" t="n">
        <v>13.77071595</v>
      </c>
      <c r="H55" s="20" t="n">
        <v>1.77104072</v>
      </c>
      <c r="I55" s="18" t="s">
        <v>349</v>
      </c>
      <c r="J55" s="20" t="s">
        <v>349</v>
      </c>
      <c r="K55" s="18" t="n">
        <v>26.31444742</v>
      </c>
      <c r="L55" s="20" t="n">
        <v>2.13527238</v>
      </c>
      <c r="M55" s="18" t="n">
        <v>0</v>
      </c>
      <c r="N55" s="20" t="n">
        <v>0</v>
      </c>
      <c r="O55" s="18" t="n">
        <v>0</v>
      </c>
      <c r="P55" s="20" t="n">
        <v>0</v>
      </c>
      <c r="Q55" s="18" t="n">
        <v>10.22733586</v>
      </c>
      <c r="R55" s="20" t="n">
        <v>1.50849472</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82.01275391999999</v>
      </c>
      <c r="F57" s="20" t="n">
        <v>1.65785074</v>
      </c>
      <c r="G57" s="18" t="n">
        <v>8.96939252</v>
      </c>
      <c r="H57" s="20" t="n">
        <v>1.0567944</v>
      </c>
      <c r="I57" s="18" t="s">
        <v>349</v>
      </c>
      <c r="J57" s="20" t="s">
        <v>349</v>
      </c>
      <c r="K57" s="18" t="n">
        <v>7.07709605</v>
      </c>
      <c r="L57" s="20" t="n">
        <v>1.40185919</v>
      </c>
      <c r="M57" s="18" t="n">
        <v>0</v>
      </c>
      <c r="N57" s="20" t="n">
        <v>0</v>
      </c>
      <c r="O57" s="18" t="n">
        <v>0</v>
      </c>
      <c r="P57" s="20" t="n">
        <v>0</v>
      </c>
      <c r="Q57" s="18" t="n">
        <v>1.94075751</v>
      </c>
      <c r="R57" s="20" t="n">
        <v>0.56636574</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35.60575098</v>
      </c>
      <c r="F64" s="20" t="n">
        <v>2.5889762</v>
      </c>
      <c r="G64" s="18" t="n">
        <v>43.30222446</v>
      </c>
      <c r="H64" s="20" t="n">
        <v>2.61426797</v>
      </c>
      <c r="I64" s="18" t="s">
        <v>349</v>
      </c>
      <c r="J64" s="20" t="s">
        <v>349</v>
      </c>
      <c r="K64" s="18" t="n">
        <v>14.78252583</v>
      </c>
      <c r="L64" s="20" t="n">
        <v>2.08679713</v>
      </c>
      <c r="M64" s="18" t="n">
        <v>0</v>
      </c>
      <c r="N64" s="20" t="n">
        <v>0</v>
      </c>
      <c r="O64" s="18" t="n">
        <v>0</v>
      </c>
      <c r="P64" s="20" t="n">
        <v>0</v>
      </c>
      <c r="Q64" s="18" t="n">
        <v>6.30949873</v>
      </c>
      <c r="R64" s="20" t="n">
        <v>1.54193173</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(2085.0/B44*100)</f>
        <v/>
      </c>
      <c r="D44" s="19" t="n">
        <v>439</v>
      </c>
      <c r="E44" s="18" t="n">
        <v>39.22875554</v>
      </c>
      <c r="F44" s="20" t="n">
        <v>2.70106925</v>
      </c>
      <c r="G44" s="18" t="n">
        <v>24.14687125</v>
      </c>
      <c r="H44" s="20" t="n">
        <v>2.8243002</v>
      </c>
      <c r="I44" s="18" t="s">
        <v>349</v>
      </c>
      <c r="J44" s="20" t="s">
        <v>349</v>
      </c>
      <c r="K44" s="18" t="n">
        <v>34.02042823</v>
      </c>
      <c r="L44" s="20" t="n">
        <v>2.50832528</v>
      </c>
      <c r="M44" s="18" t="n">
        <v>0</v>
      </c>
      <c r="N44" s="20" t="n">
        <v>0</v>
      </c>
      <c r="O44" s="18" t="n">
        <v>0</v>
      </c>
      <c r="P44" s="20" t="n">
        <v>0</v>
      </c>
      <c r="Q44" s="18" t="n">
        <v>2.60394498</v>
      </c>
      <c r="R44" s="20" t="n">
        <v>0.73583258</v>
      </c>
    </row>
    <row r="45" spans="1:18">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(2312.0/B55*100)</f>
        <v/>
      </c>
      <c r="D55" s="19" t="n">
        <v>447</v>
      </c>
      <c r="E55" s="18" t="n">
        <v>49.17015053</v>
      </c>
      <c r="F55" s="20" t="n">
        <v>2.69227339</v>
      </c>
      <c r="G55" s="18" t="n">
        <v>18.55396397</v>
      </c>
      <c r="H55" s="20" t="n">
        <v>2.19507805</v>
      </c>
      <c r="I55" s="18" t="s">
        <v>349</v>
      </c>
      <c r="J55" s="20" t="s">
        <v>349</v>
      </c>
      <c r="K55" s="18" t="n">
        <v>31.03104017</v>
      </c>
      <c r="L55" s="20" t="n">
        <v>2.36342356</v>
      </c>
      <c r="M55" s="18" t="n">
        <v>0</v>
      </c>
      <c r="N55" s="20" t="n">
        <v>0</v>
      </c>
      <c r="O55" s="18" t="n">
        <v>0</v>
      </c>
      <c r="P55" s="20" t="n">
        <v>0</v>
      </c>
      <c r="Q55" s="18" t="n">
        <v>1.24484534</v>
      </c>
      <c r="R55" s="20" t="n">
        <v>0.58850918</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(2631.0/B57*100)</f>
        <v/>
      </c>
      <c r="D57" s="19" t="n">
        <v>539</v>
      </c>
      <c r="E57" s="18" t="n">
        <v>78.50696804</v>
      </c>
      <c r="F57" s="20" t="n">
        <v>1.95650784</v>
      </c>
      <c r="G57" s="18" t="n">
        <v>11.44389078</v>
      </c>
      <c r="H57" s="20" t="n">
        <v>1.70067488</v>
      </c>
      <c r="I57" s="18" t="s">
        <v>349</v>
      </c>
      <c r="J57" s="20" t="s">
        <v>349</v>
      </c>
      <c r="K57" s="18" t="n">
        <v>8.847239910000001</v>
      </c>
      <c r="L57" s="20" t="n">
        <v>1.47927384</v>
      </c>
      <c r="M57" s="18" t="n">
        <v>0</v>
      </c>
      <c r="N57" s="20" t="n">
        <v>0</v>
      </c>
      <c r="O57" s="18" t="n">
        <v>0</v>
      </c>
      <c r="P57" s="20" t="n">
        <v>0</v>
      </c>
      <c r="Q57" s="18" t="n">
        <v>1.20190127</v>
      </c>
      <c r="R57" s="20" t="n">
        <v>0.58717435</v>
      </c>
    </row>
    <row r="58" spans="1:18">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1844</v>
      </c>
      <c r="C64" s="18">
        <f>(1537.0/B64*100)</f>
        <v/>
      </c>
      <c r="D64" s="19" t="n">
        <v>307</v>
      </c>
      <c r="E64" s="18" t="n">
        <v>30.99612462</v>
      </c>
      <c r="F64" s="20" t="n">
        <v>2.56233502</v>
      </c>
      <c r="G64" s="18" t="n">
        <v>51.7065625</v>
      </c>
      <c r="H64" s="20" t="n">
        <v>2.8870313</v>
      </c>
      <c r="I64" s="18" t="s">
        <v>349</v>
      </c>
      <c r="J64" s="20" t="s">
        <v>349</v>
      </c>
      <c r="K64" s="18" t="n">
        <v>17.29731288</v>
      </c>
      <c r="L64" s="20" t="n">
        <v>2.22971036</v>
      </c>
      <c r="M64" s="18" t="n">
        <v>0</v>
      </c>
      <c r="N64" s="20" t="n">
        <v>0</v>
      </c>
      <c r="O64" s="18" t="n">
        <v>0</v>
      </c>
      <c r="P64" s="20" t="n">
        <v>0</v>
      </c>
      <c r="Q64" s="18" t="n">
        <v>0</v>
      </c>
      <c r="R64" s="20" t="n">
        <v>0</v>
      </c>
    </row>
    <row r="65" spans="1:18">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604</v>
      </c>
    </row>
    <row customHeight="1" ht="30" r="4" spans="1:24">
      <c r="A4" s="6" t="n"/>
      <c r="B4" s="7" t="s">
        <v>333</v>
      </c>
      <c r="C4" s="7" t="s">
        <v>334</v>
      </c>
      <c r="D4" s="8" t="s">
        <v>333</v>
      </c>
      <c r="E4" s="9" t="s">
        <v>440</v>
      </c>
      <c r="F4" s="10" t="n"/>
      <c r="G4" s="9" t="s">
        <v>536</v>
      </c>
      <c r="H4" s="10" t="n"/>
      <c r="I4" s="9" t="s">
        <v>441</v>
      </c>
      <c r="J4" s="10" t="n"/>
      <c r="K4" s="9" t="s">
        <v>442</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row>
    <row r="8" spans="1:24">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row>
    <row r="9" spans="1:24">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row>
    <row r="10" spans="1:24">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row>
    <row r="11" spans="1:24">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row>
    <row r="12" spans="1:24">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row>
    <row r="13" spans="1:24">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row>
    <row r="14" spans="1:24">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row>
    <row r="15" spans="1:24">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row>
    <row r="16" spans="1:24">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row>
    <row r="17" spans="1:24">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row>
    <row r="18" spans="1:24">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row>
    <row r="19" spans="1:24">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row>
    <row r="20" spans="1:24">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row>
    <row r="21" spans="1:24">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row>
    <row r="22" spans="1:24">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row>
    <row r="23" spans="1:24">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row>
    <row r="24" spans="1:24">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row>
    <row r="25" spans="1:24">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row>
    <row r="26" spans="1:24">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row>
    <row r="27" spans="1:24">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row>
    <row r="28" spans="1:24">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row>
    <row r="29" spans="1:24">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row>
    <row r="30" spans="1:24">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row>
    <row r="31" spans="1:24">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row>
    <row r="32" spans="1:24">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row>
    <row r="33" spans="1:24">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row>
    <row r="34" spans="1:24">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row>
    <row r="35" spans="1:24">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row>
    <row r="36" spans="1:24">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row>
    <row r="37" spans="1:24">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row>
    <row r="38" spans="1:24">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row>
    <row r="39" spans="1:24">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row>
    <row r="40" spans="1:24">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row>
    <row r="41" spans="1:24">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2524</v>
      </c>
      <c r="C44" s="18">
        <f>(2085.0/B44*100)</f>
        <v/>
      </c>
      <c r="D44" s="19" t="n">
        <v>439</v>
      </c>
      <c r="E44" s="18" t="n">
        <v>31.50853118</v>
      </c>
      <c r="F44" s="20" t="n">
        <v>2.60543269</v>
      </c>
      <c r="G44" s="18" t="n">
        <v>0</v>
      </c>
      <c r="H44" s="20" t="n">
        <v>0</v>
      </c>
      <c r="I44" s="18" t="n">
        <v>9.155580710000001</v>
      </c>
      <c r="J44" s="20" t="n">
        <v>1.9606878</v>
      </c>
      <c r="K44" s="18" t="n">
        <v>2.46541641</v>
      </c>
      <c r="L44" s="20" t="n">
        <v>0.85433462</v>
      </c>
      <c r="M44" s="18" t="n">
        <v>2.1034192</v>
      </c>
      <c r="N44" s="20" t="n">
        <v>0.82555847</v>
      </c>
      <c r="O44" s="18" t="s">
        <v>349</v>
      </c>
      <c r="P44" s="20" t="s">
        <v>349</v>
      </c>
      <c r="Q44" s="18" t="n">
        <v>54.7670525</v>
      </c>
      <c r="R44" s="20" t="n">
        <v>2.80086227</v>
      </c>
      <c r="S44" s="18" t="n">
        <v>0</v>
      </c>
      <c r="T44" s="20" t="n">
        <v>0</v>
      </c>
      <c r="U44" s="18" t="n">
        <v>0</v>
      </c>
      <c r="V44" s="20" t="n">
        <v>0</v>
      </c>
      <c r="W44" s="18" t="n">
        <v>0</v>
      </c>
      <c r="X44" s="20" t="n">
        <v>0</v>
      </c>
    </row>
    <row r="45" spans="1:24">
      <c r="A45" s="15" t="s">
        <v>387</v>
      </c>
      <c r="B45" s="17" t="n">
        <v>2849</v>
      </c>
      <c r="C45" s="18">
        <f>(2849.0/B45*100)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row>
    <row r="47" spans="1:24">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row>
    <row r="48" spans="1:24">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row>
    <row r="49" spans="1:24">
      <c r="A49" s="15" t="s">
        <v>391</v>
      </c>
      <c r="B49" s="17" t="n">
        <v>3018</v>
      </c>
      <c r="C49" s="18">
        <f>(3018.0/B49*100)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row>
    <row r="51" spans="1:24">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row>
    <row r="52" spans="1:24">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row>
    <row r="53" spans="1:24">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row>
    <row r="54" spans="1:24">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row>
    <row r="55" spans="1:24">
      <c r="A55" s="15" t="s">
        <v>397</v>
      </c>
      <c r="B55" s="17" t="n">
        <v>2759</v>
      </c>
      <c r="C55" s="18">
        <f>(2312.0/B55*100)</f>
        <v/>
      </c>
      <c r="D55" s="19" t="n">
        <v>447</v>
      </c>
      <c r="E55" s="18" t="n">
        <v>41.23124478</v>
      </c>
      <c r="F55" s="20" t="n">
        <v>2.76076417</v>
      </c>
      <c r="G55" s="18" t="n">
        <v>0</v>
      </c>
      <c r="H55" s="20" t="n">
        <v>0</v>
      </c>
      <c r="I55" s="18" t="n">
        <v>2.62288337</v>
      </c>
      <c r="J55" s="20" t="n">
        <v>0.84657913</v>
      </c>
      <c r="K55" s="18" t="n">
        <v>0.9603965800000001</v>
      </c>
      <c r="L55" s="20" t="n">
        <v>0.50492691</v>
      </c>
      <c r="M55" s="18" t="n">
        <v>2.23579</v>
      </c>
      <c r="N55" s="20" t="n">
        <v>0.7418960100000001</v>
      </c>
      <c r="O55" s="18" t="s">
        <v>349</v>
      </c>
      <c r="P55" s="20" t="s">
        <v>349</v>
      </c>
      <c r="Q55" s="18" t="n">
        <v>52.94968527</v>
      </c>
      <c r="R55" s="20" t="n">
        <v>2.77313894</v>
      </c>
      <c r="S55" s="18" t="n">
        <v>0</v>
      </c>
      <c r="T55" s="20" t="n">
        <v>0</v>
      </c>
      <c r="U55" s="18" t="n">
        <v>0</v>
      </c>
      <c r="V55" s="20" t="n">
        <v>0</v>
      </c>
      <c r="W55" s="18" t="n">
        <v>0</v>
      </c>
      <c r="X55" s="20" t="n">
        <v>0</v>
      </c>
    </row>
    <row r="56" spans="1:24">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row>
    <row r="57" spans="1:24">
      <c r="A57" s="15" t="s">
        <v>399</v>
      </c>
      <c r="B57" s="17" t="n">
        <v>3170</v>
      </c>
      <c r="C57" s="18">
        <f>(2631.0/B57*100)</f>
        <v/>
      </c>
      <c r="D57" s="19" t="n">
        <v>539</v>
      </c>
      <c r="E57" s="18" t="n">
        <v>81.85782604000001</v>
      </c>
      <c r="F57" s="20" t="n">
        <v>1.8698068</v>
      </c>
      <c r="G57" s="18" t="n">
        <v>0</v>
      </c>
      <c r="H57" s="20" t="n">
        <v>0</v>
      </c>
      <c r="I57" s="18" t="n">
        <v>0</v>
      </c>
      <c r="J57" s="20" t="n">
        <v>0</v>
      </c>
      <c r="K57" s="18" t="n">
        <v>0.81617304</v>
      </c>
      <c r="L57" s="20" t="n">
        <v>0.35699492</v>
      </c>
      <c r="M57" s="18" t="n">
        <v>0.33711385</v>
      </c>
      <c r="N57" s="20" t="n">
        <v>0.21878058</v>
      </c>
      <c r="O57" s="18" t="s">
        <v>349</v>
      </c>
      <c r="P57" s="20" t="s">
        <v>349</v>
      </c>
      <c r="Q57" s="18" t="n">
        <v>16.98888707</v>
      </c>
      <c r="R57" s="20" t="n">
        <v>1.85077162</v>
      </c>
      <c r="S57" s="18" t="n">
        <v>0</v>
      </c>
      <c r="T57" s="20" t="n">
        <v>0</v>
      </c>
      <c r="U57" s="18" t="n">
        <v>0</v>
      </c>
      <c r="V57" s="20" t="n">
        <v>0</v>
      </c>
      <c r="W57" s="18" t="n">
        <v>0</v>
      </c>
      <c r="X57" s="20" t="n">
        <v>0</v>
      </c>
    </row>
    <row r="58" spans="1:24">
      <c r="A58" s="15" t="s">
        <v>400</v>
      </c>
      <c r="B58" s="17" t="n">
        <v>3530</v>
      </c>
      <c r="C58" s="18">
        <f>(3530.0/B58*100)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2548</v>
      </c>
      <c r="C59" s="18">
        <f>(2548.0/B59*100)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2095</v>
      </c>
      <c r="C60" s="18">
        <f>(2095.0/B60*100)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row>
    <row r="62" spans="1:24">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row>
    <row r="63" spans="1:24">
      <c r="A63" s="15" t="s">
        <v>405</v>
      </c>
      <c r="B63" s="17" t="n">
        <v>2813</v>
      </c>
      <c r="C63" s="18">
        <f>(2813.0/B63*100)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1844</v>
      </c>
      <c r="C64" s="18">
        <f>(1537.0/B64*100)</f>
        <v/>
      </c>
      <c r="D64" s="19" t="n">
        <v>307</v>
      </c>
      <c r="E64" s="18" t="n">
        <v>45.61939761</v>
      </c>
      <c r="F64" s="20" t="n">
        <v>2.41111117</v>
      </c>
      <c r="G64" s="18" t="n">
        <v>0</v>
      </c>
      <c r="H64" s="20" t="n">
        <v>0</v>
      </c>
      <c r="I64" s="18" t="n">
        <v>0.59099619</v>
      </c>
      <c r="J64" s="20" t="n">
        <v>0.41821047</v>
      </c>
      <c r="K64" s="18" t="n">
        <v>6.50912847</v>
      </c>
      <c r="L64" s="20" t="n">
        <v>1.48748186</v>
      </c>
      <c r="M64" s="18" t="n">
        <v>11.37683796</v>
      </c>
      <c r="N64" s="20" t="n">
        <v>1.86404261</v>
      </c>
      <c r="O64" s="18" t="s">
        <v>349</v>
      </c>
      <c r="P64" s="20" t="s">
        <v>349</v>
      </c>
      <c r="Q64" s="18" t="n">
        <v>35.90363977</v>
      </c>
      <c r="R64" s="20" t="n">
        <v>2.63303483</v>
      </c>
      <c r="S64" s="18" t="n">
        <v>0</v>
      </c>
      <c r="T64" s="20" t="n">
        <v>0</v>
      </c>
      <c r="U64" s="18" t="n">
        <v>0</v>
      </c>
      <c r="V64" s="20" t="n">
        <v>0</v>
      </c>
      <c r="W64" s="18" t="n">
        <v>0</v>
      </c>
      <c r="X64" s="20" t="n">
        <v>0</v>
      </c>
    </row>
    <row r="65" spans="1:24">
      <c r="A65" s="15" t="s">
        <v>407</v>
      </c>
      <c r="B65" s="17" t="n">
        <v>2691</v>
      </c>
      <c r="C65" s="18">
        <f>(2691.0/B65*100)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row>
    <row r="67" spans="1:24">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row>
    <row r="68" spans="1:24">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row>
    <row r="69" spans="1:24">
      <c r="A69" s="15" t="s">
        <v>411</v>
      </c>
      <c r="B69" s="17" t="n">
        <v>2410</v>
      </c>
      <c r="C69" s="18">
        <f>(2410.0/B69*100)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row>
    <row r="71" spans="1:24">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row>
    <row r="72" spans="1:24">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row>
    <row r="73" spans="1:24">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row>
    <row r="74" spans="1:24">
      <c r="A74" s="15" t="s">
        <v>416</v>
      </c>
      <c r="B74" s="17" t="n">
        <v>2239</v>
      </c>
      <c r="C74" s="18">
        <f>(2239.0/B74*100)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row>
    <row r="76" spans="1:24">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row>
    <row r="77" spans="1:24">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row>
    <row r="78" spans="1:24">
      <c r="A78" s="15" t="s">
        <v>420</v>
      </c>
      <c r="B78" s="17" t="n">
        <v>2786</v>
      </c>
      <c r="C78" s="18">
        <f>(2786.0/B78*100)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787</v>
      </c>
      <c r="C79" s="18">
        <f>(787.0/B79*100)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41.9784798</v>
      </c>
      <c r="F45" s="20" t="n">
        <v>2.13318719</v>
      </c>
      <c r="G45" s="18" t="n">
        <v>51.31145333</v>
      </c>
      <c r="H45" s="20" t="n">
        <v>2.42378538</v>
      </c>
      <c r="I45" s="18" t="s">
        <v>349</v>
      </c>
      <c r="J45" s="20" t="s">
        <v>349</v>
      </c>
      <c r="K45" s="18" t="n">
        <v>2.6433651</v>
      </c>
      <c r="L45" s="20" t="n">
        <v>0.78737905</v>
      </c>
      <c r="M45" s="18" t="n">
        <v>0.10699324</v>
      </c>
      <c r="N45" s="20" t="n">
        <v>0.11793106</v>
      </c>
      <c r="O45" s="18" t="n">
        <v>1.46800664</v>
      </c>
      <c r="P45" s="20" t="n">
        <v>0.5116420699999999</v>
      </c>
      <c r="Q45" s="18" t="n">
        <v>2.49170189</v>
      </c>
      <c r="R45" s="20" t="n">
        <v>0.73957854</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12.30990002</v>
      </c>
      <c r="F49" s="20" t="n">
        <v>1.6610172</v>
      </c>
      <c r="G49" s="18" t="n">
        <v>82.54101222</v>
      </c>
      <c r="H49" s="20" t="n">
        <v>1.81514517</v>
      </c>
      <c r="I49" s="18" t="s">
        <v>349</v>
      </c>
      <c r="J49" s="20" t="s">
        <v>349</v>
      </c>
      <c r="K49" s="18" t="n">
        <v>2.54075782</v>
      </c>
      <c r="L49" s="20" t="n">
        <v>0.79508869</v>
      </c>
      <c r="M49" s="18" t="n">
        <v>0.31358469</v>
      </c>
      <c r="N49" s="20" t="n">
        <v>0.30095314</v>
      </c>
      <c r="O49" s="18" t="n">
        <v>1.15273843</v>
      </c>
      <c r="P49" s="20" t="n">
        <v>0.60656221</v>
      </c>
      <c r="Q49" s="18" t="n">
        <v>1.14200683</v>
      </c>
      <c r="R49" s="20" t="n">
        <v>0.54742717</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51.71185795</v>
      </c>
      <c r="F58" s="20" t="n">
        <v>2.47371575</v>
      </c>
      <c r="G58" s="18" t="n">
        <v>42.34132546</v>
      </c>
      <c r="H58" s="20" t="n">
        <v>2.53694212</v>
      </c>
      <c r="I58" s="18" t="s">
        <v>349</v>
      </c>
      <c r="J58" s="20" t="s">
        <v>349</v>
      </c>
      <c r="K58" s="18" t="n">
        <v>2.27240157</v>
      </c>
      <c r="L58" s="20" t="n">
        <v>0.64677929</v>
      </c>
      <c r="M58" s="18" t="n">
        <v>0</v>
      </c>
      <c r="N58" s="20" t="n">
        <v>0</v>
      </c>
      <c r="O58" s="18" t="n">
        <v>1.13723355</v>
      </c>
      <c r="P58" s="20" t="n">
        <v>0.49969273</v>
      </c>
      <c r="Q58" s="18" t="n">
        <v>2.53718146</v>
      </c>
      <c r="R58" s="20" t="n">
        <v>0.72646732</v>
      </c>
    </row>
    <row r="59" spans="1:18">
      <c r="A59" s="15" t="s">
        <v>401</v>
      </c>
      <c r="B59" s="17" t="n">
        <v>2548</v>
      </c>
      <c r="C59" s="18">
        <f>(2112.0/B59*100)</f>
        <v/>
      </c>
      <c r="D59" s="19" t="n">
        <v>436</v>
      </c>
      <c r="E59" s="18" t="n">
        <v>23.71305479</v>
      </c>
      <c r="F59" s="20" t="n">
        <v>2.19574228</v>
      </c>
      <c r="G59" s="18" t="n">
        <v>73.77223465</v>
      </c>
      <c r="H59" s="20" t="n">
        <v>2.3863727</v>
      </c>
      <c r="I59" s="18" t="s">
        <v>349</v>
      </c>
      <c r="J59" s="20" t="s">
        <v>349</v>
      </c>
      <c r="K59" s="18" t="n">
        <v>0.11196581</v>
      </c>
      <c r="L59" s="20" t="n">
        <v>0.11162053</v>
      </c>
      <c r="M59" s="18" t="n">
        <v>0.71011392</v>
      </c>
      <c r="N59" s="20" t="n">
        <v>0.70924616</v>
      </c>
      <c r="O59" s="18" t="n">
        <v>0.88761197</v>
      </c>
      <c r="P59" s="20" t="n">
        <v>0.54697057</v>
      </c>
      <c r="Q59" s="18" t="n">
        <v>0.80501885</v>
      </c>
      <c r="R59" s="20" t="n">
        <v>0.43818999</v>
      </c>
    </row>
    <row r="60" spans="1:18">
      <c r="A60" s="15" t="s">
        <v>402</v>
      </c>
      <c r="B60" s="17" t="n">
        <v>2095</v>
      </c>
      <c r="C60" s="18">
        <f>(1741.0/B60*100)</f>
        <v/>
      </c>
      <c r="D60" s="19" t="n">
        <v>354</v>
      </c>
      <c r="E60" s="18" t="n">
        <v>33.93872577</v>
      </c>
      <c r="F60" s="20" t="n">
        <v>2.90902131</v>
      </c>
      <c r="G60" s="18" t="n">
        <v>60.22422374</v>
      </c>
      <c r="H60" s="20" t="n">
        <v>2.90759714</v>
      </c>
      <c r="I60" s="18" t="s">
        <v>349</v>
      </c>
      <c r="J60" s="20" t="s">
        <v>349</v>
      </c>
      <c r="K60" s="18" t="n">
        <v>1.93578306</v>
      </c>
      <c r="L60" s="20" t="n">
        <v>0.8157853</v>
      </c>
      <c r="M60" s="18" t="n">
        <v>0</v>
      </c>
      <c r="N60" s="20" t="n">
        <v>0</v>
      </c>
      <c r="O60" s="18" t="n">
        <v>0.79290205</v>
      </c>
      <c r="P60" s="20" t="n">
        <v>0.4651061</v>
      </c>
      <c r="Q60" s="18" t="n">
        <v>3.10836539</v>
      </c>
      <c r="R60" s="20" t="n">
        <v>0.8776326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24.48746388</v>
      </c>
      <c r="F63" s="20" t="n">
        <v>2.1016877</v>
      </c>
      <c r="G63" s="18" t="n">
        <v>71.52848983</v>
      </c>
      <c r="H63" s="20" t="n">
        <v>2.15586754</v>
      </c>
      <c r="I63" s="18" t="s">
        <v>349</v>
      </c>
      <c r="J63" s="20" t="s">
        <v>349</v>
      </c>
      <c r="K63" s="18" t="n">
        <v>1.33126648</v>
      </c>
      <c r="L63" s="20" t="n">
        <v>0.44839207</v>
      </c>
      <c r="M63" s="18" t="n">
        <v>0</v>
      </c>
      <c r="N63" s="20" t="n">
        <v>0</v>
      </c>
      <c r="O63" s="18" t="n">
        <v>0.23642801</v>
      </c>
      <c r="P63" s="20" t="n">
        <v>0.1758199</v>
      </c>
      <c r="Q63" s="18" t="n">
        <v>2.4163518</v>
      </c>
      <c r="R63" s="20" t="n">
        <v>0.74329237</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13.68957887</v>
      </c>
      <c r="F65" s="20" t="n">
        <v>1.7745282</v>
      </c>
      <c r="G65" s="18" t="n">
        <v>81.68071384</v>
      </c>
      <c r="H65" s="20" t="n">
        <v>1.85207211</v>
      </c>
      <c r="I65" s="18" t="s">
        <v>349</v>
      </c>
      <c r="J65" s="20" t="s">
        <v>349</v>
      </c>
      <c r="K65" s="18" t="n">
        <v>1.87995345</v>
      </c>
      <c r="L65" s="20" t="n">
        <v>0.69854083</v>
      </c>
      <c r="M65" s="18" t="n">
        <v>1.03728733</v>
      </c>
      <c r="N65" s="20" t="n">
        <v>0.41019637</v>
      </c>
      <c r="O65" s="18" t="n">
        <v>0</v>
      </c>
      <c r="P65" s="20" t="n">
        <v>0</v>
      </c>
      <c r="Q65" s="18" t="n">
        <v>1.71246652</v>
      </c>
      <c r="R65" s="20" t="n">
        <v>0.73948992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32.94046617</v>
      </c>
      <c r="F69" s="20" t="n">
        <v>2.15578525</v>
      </c>
      <c r="G69" s="18" t="n">
        <v>67.05953383000001</v>
      </c>
      <c r="H69" s="20" t="n">
        <v>2.15578525</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28.18052512</v>
      </c>
      <c r="F74" s="20" t="n">
        <v>2.45461809</v>
      </c>
      <c r="G74" s="18" t="n">
        <v>65.9553535</v>
      </c>
      <c r="H74" s="20" t="n">
        <v>2.53785169</v>
      </c>
      <c r="I74" s="18" t="s">
        <v>349</v>
      </c>
      <c r="J74" s="20" t="s">
        <v>349</v>
      </c>
      <c r="K74" s="18" t="n">
        <v>3.836624</v>
      </c>
      <c r="L74" s="20" t="n">
        <v>1.25221081</v>
      </c>
      <c r="M74" s="18" t="n">
        <v>0</v>
      </c>
      <c r="N74" s="20" t="n">
        <v>0</v>
      </c>
      <c r="O74" s="18" t="n">
        <v>0</v>
      </c>
      <c r="P74" s="20" t="n">
        <v>0</v>
      </c>
      <c r="Q74" s="18" t="n">
        <v>2.02749738</v>
      </c>
      <c r="R74" s="20" t="n">
        <v>0.76191014</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3.91427225</v>
      </c>
      <c r="F78" s="20" t="n">
        <v>1.58842958</v>
      </c>
      <c r="G78" s="18" t="n">
        <v>96.08572775</v>
      </c>
      <c r="H78" s="20" t="n">
        <v>1.58842958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(644.0/B79*100)</f>
        <v/>
      </c>
      <c r="D79" s="19" t="n">
        <v>143</v>
      </c>
      <c r="E79" s="18" t="n">
        <v>6.41064479</v>
      </c>
      <c r="F79" s="20" t="n">
        <v>1.81231752</v>
      </c>
      <c r="G79" s="18" t="n">
        <v>89.26345233000001</v>
      </c>
      <c r="H79" s="20" t="n">
        <v>2.52584781</v>
      </c>
      <c r="I79" s="18" t="s">
        <v>349</v>
      </c>
      <c r="J79" s="20" t="s">
        <v>349</v>
      </c>
      <c r="K79" s="18" t="n">
        <v>3.8227112</v>
      </c>
      <c r="L79" s="20" t="n">
        <v>1.59957041</v>
      </c>
      <c r="M79" s="18" t="n">
        <v>0</v>
      </c>
      <c r="N79" s="20" t="n">
        <v>0</v>
      </c>
      <c r="O79" s="18" t="n">
        <v>0</v>
      </c>
      <c r="P79" s="20" t="n">
        <v>0</v>
      </c>
      <c r="Q79" s="18" t="n">
        <v>0.50319168</v>
      </c>
      <c r="R79" s="20" t="n">
        <v>0.4878138</v>
      </c>
    </row>
    <row r="80" spans="1:18">
      <c r="A80" s="15" t="s">
        <v>422</v>
      </c>
      <c r="B80" s="17" t="n">
        <v>3798</v>
      </c>
      <c r="C80" s="18">
        <f>(3157.0/B80*100)</f>
        <v/>
      </c>
      <c r="D80" s="19" t="n">
        <v>641</v>
      </c>
      <c r="E80" s="18" t="n">
        <v>13.12229741</v>
      </c>
      <c r="F80" s="20" t="n">
        <v>1.68450386</v>
      </c>
      <c r="G80" s="18" t="n">
        <v>86.64278379</v>
      </c>
      <c r="H80" s="20" t="n">
        <v>1.71405441</v>
      </c>
      <c r="I80" s="18" t="s">
        <v>349</v>
      </c>
      <c r="J80" s="20" t="s">
        <v>349</v>
      </c>
      <c r="K80" s="18" t="n">
        <v>0</v>
      </c>
      <c r="L80" s="20" t="n">
        <v>0</v>
      </c>
      <c r="M80" s="18" t="n">
        <v>0</v>
      </c>
      <c r="N80" s="20" t="n">
        <v>0</v>
      </c>
      <c r="O80" s="18" t="n">
        <v>0</v>
      </c>
      <c r="P80" s="20" t="n">
        <v>0</v>
      </c>
      <c r="Q80" s="18" t="n">
        <v>0.2349188</v>
      </c>
      <c r="R80" s="20" t="n">
        <v>0.15904378</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37.38283504</v>
      </c>
      <c r="F45" s="20" t="n">
        <v>2.28204837</v>
      </c>
      <c r="G45" s="18" t="n">
        <v>50.65996999</v>
      </c>
      <c r="H45" s="20" t="n">
        <v>2.35733056</v>
      </c>
      <c r="I45" s="18" t="s">
        <v>349</v>
      </c>
      <c r="J45" s="20" t="s">
        <v>349</v>
      </c>
      <c r="K45" s="18" t="n">
        <v>3.23325421</v>
      </c>
      <c r="L45" s="20" t="n">
        <v>0.8301333</v>
      </c>
      <c r="M45" s="18" t="n">
        <v>0.12100005</v>
      </c>
      <c r="N45" s="20" t="n">
        <v>0.11560615</v>
      </c>
      <c r="O45" s="18" t="n">
        <v>0</v>
      </c>
      <c r="P45" s="20" t="n">
        <v>0</v>
      </c>
      <c r="Q45" s="18" t="n">
        <v>8.60294071</v>
      </c>
      <c r="R45" s="20" t="n">
        <v>1.29603669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34.64231716</v>
      </c>
      <c r="F49" s="20" t="n">
        <v>2.54215461</v>
      </c>
      <c r="G49" s="18" t="n">
        <v>54.91815418</v>
      </c>
      <c r="H49" s="20" t="n">
        <v>2.5943403</v>
      </c>
      <c r="I49" s="18" t="s">
        <v>349</v>
      </c>
      <c r="J49" s="20" t="s">
        <v>349</v>
      </c>
      <c r="K49" s="18" t="n">
        <v>2.89487081</v>
      </c>
      <c r="L49" s="20" t="n">
        <v>0.84936429</v>
      </c>
      <c r="M49" s="18" t="n">
        <v>0.31358469</v>
      </c>
      <c r="N49" s="20" t="n">
        <v>0.30095314</v>
      </c>
      <c r="O49" s="18" t="n">
        <v>0</v>
      </c>
      <c r="P49" s="20" t="n">
        <v>0</v>
      </c>
      <c r="Q49" s="18" t="n">
        <v>7.23107316</v>
      </c>
      <c r="R49" s="20" t="n">
        <v>1.31311064</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49.74305017</v>
      </c>
      <c r="F58" s="20" t="n">
        <v>2.13408306</v>
      </c>
      <c r="G58" s="18" t="n">
        <v>42.68919652</v>
      </c>
      <c r="H58" s="20" t="n">
        <v>2.40973651</v>
      </c>
      <c r="I58" s="18" t="s">
        <v>349</v>
      </c>
      <c r="J58" s="20" t="s">
        <v>349</v>
      </c>
      <c r="K58" s="18" t="n">
        <v>2.27240157</v>
      </c>
      <c r="L58" s="20" t="n">
        <v>0.64677929</v>
      </c>
      <c r="M58" s="18" t="n">
        <v>0.07076346</v>
      </c>
      <c r="N58" s="20" t="n">
        <v>0.07083078</v>
      </c>
      <c r="O58" s="18" t="n">
        <v>0</v>
      </c>
      <c r="P58" s="20" t="n">
        <v>0</v>
      </c>
      <c r="Q58" s="18" t="n">
        <v>5.22458827</v>
      </c>
      <c r="R58" s="20" t="n">
        <v>1.30451133</v>
      </c>
    </row>
    <row r="59" spans="1:18">
      <c r="A59" s="15" t="s">
        <v>401</v>
      </c>
      <c r="B59" s="17" t="n">
        <v>2548</v>
      </c>
      <c r="C59" s="18">
        <f>(2112.0/B59*100)</f>
        <v/>
      </c>
      <c r="D59" s="19" t="n">
        <v>436</v>
      </c>
      <c r="E59" s="18" t="n">
        <v>39.66588442</v>
      </c>
      <c r="F59" s="20" t="n">
        <v>2.59274577</v>
      </c>
      <c r="G59" s="18" t="n">
        <v>51.24532065</v>
      </c>
      <c r="H59" s="20" t="n">
        <v>2.60194248</v>
      </c>
      <c r="I59" s="18" t="s">
        <v>349</v>
      </c>
      <c r="J59" s="20" t="s">
        <v>349</v>
      </c>
      <c r="K59" s="18" t="n">
        <v>0.93348542</v>
      </c>
      <c r="L59" s="20" t="n">
        <v>0.48368538</v>
      </c>
      <c r="M59" s="18" t="n">
        <v>0</v>
      </c>
      <c r="N59" s="20" t="n">
        <v>0</v>
      </c>
      <c r="O59" s="18" t="n">
        <v>0</v>
      </c>
      <c r="P59" s="20" t="n">
        <v>0</v>
      </c>
      <c r="Q59" s="18" t="n">
        <v>8.155309519999999</v>
      </c>
      <c r="R59" s="20" t="n">
        <v>1.29451811</v>
      </c>
    </row>
    <row r="60" spans="1:18">
      <c r="A60" s="15" t="s">
        <v>402</v>
      </c>
      <c r="B60" s="17" t="n">
        <v>2095</v>
      </c>
      <c r="C60" s="18">
        <f>(1741.0/B60*100)</f>
        <v/>
      </c>
      <c r="D60" s="19" t="n">
        <v>354</v>
      </c>
      <c r="E60" s="18" t="n">
        <v>22.5629928</v>
      </c>
      <c r="F60" s="20" t="n">
        <v>2.16262378</v>
      </c>
      <c r="G60" s="18" t="n">
        <v>61.54963221</v>
      </c>
      <c r="H60" s="20" t="n">
        <v>2.54111251</v>
      </c>
      <c r="I60" s="18" t="s">
        <v>349</v>
      </c>
      <c r="J60" s="20" t="s">
        <v>349</v>
      </c>
      <c r="K60" s="18" t="n">
        <v>2.29260645</v>
      </c>
      <c r="L60" s="20" t="n">
        <v>0.90595821</v>
      </c>
      <c r="M60" s="18" t="n">
        <v>0</v>
      </c>
      <c r="N60" s="20" t="n">
        <v>0</v>
      </c>
      <c r="O60" s="18" t="n">
        <v>0</v>
      </c>
      <c r="P60" s="20" t="n">
        <v>0</v>
      </c>
      <c r="Q60" s="18" t="n">
        <v>13.59476854</v>
      </c>
      <c r="R60" s="20" t="n">
        <v>2.120919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27.54210443</v>
      </c>
      <c r="F63" s="20" t="n">
        <v>2.17095929</v>
      </c>
      <c r="G63" s="18" t="n">
        <v>50.62681066</v>
      </c>
      <c r="H63" s="20" t="n">
        <v>2.37302339</v>
      </c>
      <c r="I63" s="18" t="s">
        <v>349</v>
      </c>
      <c r="J63" s="20" t="s">
        <v>349</v>
      </c>
      <c r="K63" s="18" t="n">
        <v>2.02958773</v>
      </c>
      <c r="L63" s="20" t="n">
        <v>0.57363346</v>
      </c>
      <c r="M63" s="18" t="n">
        <v>0</v>
      </c>
      <c r="N63" s="20" t="n">
        <v>0</v>
      </c>
      <c r="O63" s="18" t="n">
        <v>0</v>
      </c>
      <c r="P63" s="20" t="n">
        <v>0</v>
      </c>
      <c r="Q63" s="18" t="n">
        <v>19.80149718</v>
      </c>
      <c r="R63" s="20" t="n">
        <v>1.88326301</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20.99953064</v>
      </c>
      <c r="F65" s="20" t="n">
        <v>2.25362779</v>
      </c>
      <c r="G65" s="18" t="n">
        <v>62.13359128</v>
      </c>
      <c r="H65" s="20" t="n">
        <v>2.63293833</v>
      </c>
      <c r="I65" s="18" t="s">
        <v>349</v>
      </c>
      <c r="J65" s="20" t="s">
        <v>349</v>
      </c>
      <c r="K65" s="18" t="n">
        <v>3.1680615</v>
      </c>
      <c r="L65" s="20" t="n">
        <v>0.87756841</v>
      </c>
      <c r="M65" s="18" t="n">
        <v>0</v>
      </c>
      <c r="N65" s="20" t="n">
        <v>0</v>
      </c>
      <c r="O65" s="18" t="n">
        <v>0</v>
      </c>
      <c r="P65" s="20" t="n">
        <v>0</v>
      </c>
      <c r="Q65" s="18" t="n">
        <v>13.69881657</v>
      </c>
      <c r="R65" s="20" t="n">
        <v>1.89631345</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46.92219422</v>
      </c>
      <c r="F69" s="20" t="n">
        <v>2.84695668</v>
      </c>
      <c r="G69" s="18" t="n">
        <v>53.07780578</v>
      </c>
      <c r="H69" s="20" t="n">
        <v>2.84695668</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28.17967239</v>
      </c>
      <c r="F74" s="20" t="n">
        <v>2.66128988</v>
      </c>
      <c r="G74" s="18" t="n">
        <v>59.50659731</v>
      </c>
      <c r="H74" s="20" t="n">
        <v>2.87715504</v>
      </c>
      <c r="I74" s="18" t="s">
        <v>349</v>
      </c>
      <c r="J74" s="20" t="s">
        <v>349</v>
      </c>
      <c r="K74" s="18" t="n">
        <v>4.61373225</v>
      </c>
      <c r="L74" s="20" t="n">
        <v>1.30342726</v>
      </c>
      <c r="M74" s="18" t="n">
        <v>0</v>
      </c>
      <c r="N74" s="20" t="n">
        <v>0</v>
      </c>
      <c r="O74" s="18" t="n">
        <v>0</v>
      </c>
      <c r="P74" s="20" t="n">
        <v>0</v>
      </c>
      <c r="Q74" s="18" t="n">
        <v>7.69999805</v>
      </c>
      <c r="R74" s="20" t="n">
        <v>1.66949952</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19.90984861</v>
      </c>
      <c r="F78" s="20" t="n">
        <v>2.21244828</v>
      </c>
      <c r="G78" s="18" t="n">
        <v>79.7525787</v>
      </c>
      <c r="H78" s="20" t="n">
        <v>2.25819195</v>
      </c>
      <c r="I78" s="18" t="s">
        <v>349</v>
      </c>
      <c r="J78" s="20" t="s">
        <v>349</v>
      </c>
      <c r="K78" s="18" t="n">
        <v>0</v>
      </c>
      <c r="L78" s="20" t="n">
        <v>0</v>
      </c>
      <c r="M78" s="18" t="n">
        <v>0</v>
      </c>
      <c r="N78" s="20" t="n">
        <v>0</v>
      </c>
      <c r="O78" s="18" t="n">
        <v>0</v>
      </c>
      <c r="P78" s="20" t="n">
        <v>0</v>
      </c>
      <c r="Q78" s="18" t="n">
        <v>0.33757269</v>
      </c>
      <c r="R78" s="20" t="n">
        <v>0.30564212</v>
      </c>
    </row>
    <row customHeight="1" ht="25" r="79" spans="1:18">
      <c r="A79" s="15" t="s">
        <v>421</v>
      </c>
      <c r="B79" s="17" t="n">
        <v>787</v>
      </c>
      <c r="C79" s="18">
        <f>(644.0/B79*100)</f>
        <v/>
      </c>
      <c r="D79" s="19" t="n">
        <v>143</v>
      </c>
      <c r="E79" s="18" t="n">
        <v>19.38561717</v>
      </c>
      <c r="F79" s="20" t="n">
        <v>3.13604509</v>
      </c>
      <c r="G79" s="18" t="n">
        <v>69.78037479</v>
      </c>
      <c r="H79" s="20" t="n">
        <v>3.56199264</v>
      </c>
      <c r="I79" s="18" t="s">
        <v>349</v>
      </c>
      <c r="J79" s="20" t="s">
        <v>349</v>
      </c>
      <c r="K79" s="18" t="n">
        <v>5.24094555</v>
      </c>
      <c r="L79" s="20" t="n">
        <v>2.4525481</v>
      </c>
      <c r="M79" s="18" t="n">
        <v>0</v>
      </c>
      <c r="N79" s="20" t="n">
        <v>0</v>
      </c>
      <c r="O79" s="18" t="n">
        <v>0</v>
      </c>
      <c r="P79" s="20" t="n">
        <v>0</v>
      </c>
      <c r="Q79" s="18" t="n">
        <v>5.59306248</v>
      </c>
      <c r="R79" s="20" t="n">
        <v>2.14910323</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79.76987754</v>
      </c>
      <c r="F45" s="20" t="n">
        <v>1.72888767</v>
      </c>
      <c r="G45" s="18" t="n">
        <v>3.05332243</v>
      </c>
      <c r="H45" s="20" t="n">
        <v>1.06273049</v>
      </c>
      <c r="I45" s="18" t="s">
        <v>349</v>
      </c>
      <c r="J45" s="20" t="s">
        <v>349</v>
      </c>
      <c r="K45" s="18" t="n">
        <v>3.71695315</v>
      </c>
      <c r="L45" s="20" t="n">
        <v>0.88458781</v>
      </c>
      <c r="M45" s="18" t="n">
        <v>0.22059958</v>
      </c>
      <c r="N45" s="20" t="n">
        <v>0.22279874</v>
      </c>
      <c r="O45" s="18" t="n">
        <v>0</v>
      </c>
      <c r="P45" s="20" t="n">
        <v>0</v>
      </c>
      <c r="Q45" s="18" t="n">
        <v>13.2392473</v>
      </c>
      <c r="R45" s="20" t="n">
        <v>1.73141199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79.82390169</v>
      </c>
      <c r="F49" s="20" t="n">
        <v>1.9847614</v>
      </c>
      <c r="G49" s="18" t="n">
        <v>8.4854837</v>
      </c>
      <c r="H49" s="20" t="n">
        <v>1.38327601</v>
      </c>
      <c r="I49" s="18" t="s">
        <v>349</v>
      </c>
      <c r="J49" s="20" t="s">
        <v>349</v>
      </c>
      <c r="K49" s="18" t="n">
        <v>3.6012337</v>
      </c>
      <c r="L49" s="20" t="n">
        <v>0.86421416</v>
      </c>
      <c r="M49" s="18" t="n">
        <v>0.31358469</v>
      </c>
      <c r="N49" s="20" t="n">
        <v>0.30095314</v>
      </c>
      <c r="O49" s="18" t="n">
        <v>0</v>
      </c>
      <c r="P49" s="20" t="n">
        <v>0</v>
      </c>
      <c r="Q49" s="18" t="n">
        <v>7.77579621</v>
      </c>
      <c r="R49" s="20" t="n">
        <v>1.31670427</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84.35806189</v>
      </c>
      <c r="F58" s="20" t="n">
        <v>1.70492765</v>
      </c>
      <c r="G58" s="18" t="n">
        <v>6.82627528</v>
      </c>
      <c r="H58" s="20" t="n">
        <v>1.17912672</v>
      </c>
      <c r="I58" s="18" t="s">
        <v>349</v>
      </c>
      <c r="J58" s="20" t="s">
        <v>349</v>
      </c>
      <c r="K58" s="18" t="n">
        <v>2.27240157</v>
      </c>
      <c r="L58" s="20" t="n">
        <v>0.64677929</v>
      </c>
      <c r="M58" s="18" t="n">
        <v>0</v>
      </c>
      <c r="N58" s="20" t="n">
        <v>0</v>
      </c>
      <c r="O58" s="18" t="n">
        <v>0</v>
      </c>
      <c r="P58" s="20" t="n">
        <v>0</v>
      </c>
      <c r="Q58" s="18" t="n">
        <v>6.54326125</v>
      </c>
      <c r="R58" s="20" t="n">
        <v>1.05865927</v>
      </c>
    </row>
    <row r="59" spans="1:18">
      <c r="A59" s="15" t="s">
        <v>401</v>
      </c>
      <c r="B59" s="17" t="n">
        <v>2548</v>
      </c>
      <c r="C59" s="18">
        <f>(2112.0/B59*100)</f>
        <v/>
      </c>
      <c r="D59" s="19" t="n">
        <v>436</v>
      </c>
      <c r="E59" s="18" t="n">
        <v>85.3881643</v>
      </c>
      <c r="F59" s="20" t="n">
        <v>1.96252138</v>
      </c>
      <c r="G59" s="18" t="n">
        <v>0.55145223</v>
      </c>
      <c r="H59" s="20" t="n">
        <v>0.36965438</v>
      </c>
      <c r="I59" s="18" t="s">
        <v>349</v>
      </c>
      <c r="J59" s="20" t="s">
        <v>349</v>
      </c>
      <c r="K59" s="18" t="n">
        <v>1.12363073</v>
      </c>
      <c r="L59" s="20" t="n">
        <v>0.5009825999999999</v>
      </c>
      <c r="M59" s="18" t="n">
        <v>0</v>
      </c>
      <c r="N59" s="20" t="n">
        <v>0</v>
      </c>
      <c r="O59" s="18" t="n">
        <v>0</v>
      </c>
      <c r="P59" s="20" t="n">
        <v>0</v>
      </c>
      <c r="Q59" s="18" t="n">
        <v>12.93675273</v>
      </c>
      <c r="R59" s="20" t="n">
        <v>1.95187428</v>
      </c>
    </row>
    <row r="60" spans="1:18">
      <c r="A60" s="15" t="s">
        <v>402</v>
      </c>
      <c r="B60" s="17" t="n">
        <v>2095</v>
      </c>
      <c r="C60" s="18">
        <f>(1741.0/B60*100)</f>
        <v/>
      </c>
      <c r="D60" s="19" t="n">
        <v>354</v>
      </c>
      <c r="E60" s="18" t="n">
        <v>60.94740402</v>
      </c>
      <c r="F60" s="20" t="n">
        <v>2.70502118</v>
      </c>
      <c r="G60" s="18" t="n">
        <v>16.83027602</v>
      </c>
      <c r="H60" s="20" t="n">
        <v>2.06170944</v>
      </c>
      <c r="I60" s="18" t="s">
        <v>349</v>
      </c>
      <c r="J60" s="20" t="s">
        <v>349</v>
      </c>
      <c r="K60" s="18" t="n">
        <v>2.65907524</v>
      </c>
      <c r="L60" s="20" t="n">
        <v>0.96942378</v>
      </c>
      <c r="M60" s="18" t="n">
        <v>0</v>
      </c>
      <c r="N60" s="20" t="n">
        <v>0</v>
      </c>
      <c r="O60" s="18" t="n">
        <v>0</v>
      </c>
      <c r="P60" s="20" t="n">
        <v>0</v>
      </c>
      <c r="Q60" s="18" t="n">
        <v>19.56324473</v>
      </c>
      <c r="R60" s="20" t="n">
        <v>2.2679604</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64.86974655</v>
      </c>
      <c r="F63" s="20" t="n">
        <v>2.4468962</v>
      </c>
      <c r="G63" s="18" t="n">
        <v>5.0679654</v>
      </c>
      <c r="H63" s="20" t="n">
        <v>1.13761185</v>
      </c>
      <c r="I63" s="18" t="s">
        <v>349</v>
      </c>
      <c r="J63" s="20" t="s">
        <v>349</v>
      </c>
      <c r="K63" s="18" t="n">
        <v>2.02958773</v>
      </c>
      <c r="L63" s="20" t="n">
        <v>0.57363346</v>
      </c>
      <c r="M63" s="18" t="n">
        <v>0</v>
      </c>
      <c r="N63" s="20" t="n">
        <v>0</v>
      </c>
      <c r="O63" s="18" t="n">
        <v>0</v>
      </c>
      <c r="P63" s="20" t="n">
        <v>0</v>
      </c>
      <c r="Q63" s="18" t="n">
        <v>28.03270032</v>
      </c>
      <c r="R63" s="20" t="n">
        <v>2.0473535</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67.80144448</v>
      </c>
      <c r="F65" s="20" t="n">
        <v>2.28858931</v>
      </c>
      <c r="G65" s="18" t="n">
        <v>9.2758123</v>
      </c>
      <c r="H65" s="20" t="n">
        <v>1.66077673</v>
      </c>
      <c r="I65" s="18" t="s">
        <v>349</v>
      </c>
      <c r="J65" s="20" t="s">
        <v>349</v>
      </c>
      <c r="K65" s="18" t="n">
        <v>3.95467686</v>
      </c>
      <c r="L65" s="20" t="n">
        <v>0.98675054</v>
      </c>
      <c r="M65" s="18" t="n">
        <v>0</v>
      </c>
      <c r="N65" s="20" t="n">
        <v>0</v>
      </c>
      <c r="O65" s="18" t="n">
        <v>0</v>
      </c>
      <c r="P65" s="20" t="n">
        <v>0</v>
      </c>
      <c r="Q65" s="18" t="n">
        <v>18.96806636</v>
      </c>
      <c r="R65" s="20" t="n">
        <v>1.78815235</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77.41577107000001</v>
      </c>
      <c r="F69" s="20" t="n">
        <v>2.09950284</v>
      </c>
      <c r="G69" s="18" t="n">
        <v>22.58422893</v>
      </c>
      <c r="H69" s="20" t="n">
        <v>2.09950284</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68.47303569</v>
      </c>
      <c r="F74" s="20" t="n">
        <v>2.66715129</v>
      </c>
      <c r="G74" s="18" t="n">
        <v>11.98749293</v>
      </c>
      <c r="H74" s="20" t="n">
        <v>1.88484392</v>
      </c>
      <c r="I74" s="18" t="s">
        <v>349</v>
      </c>
      <c r="J74" s="20" t="s">
        <v>349</v>
      </c>
      <c r="K74" s="18" t="n">
        <v>4.89293701</v>
      </c>
      <c r="L74" s="20" t="n">
        <v>1.29958869</v>
      </c>
      <c r="M74" s="18" t="n">
        <v>0</v>
      </c>
      <c r="N74" s="20" t="n">
        <v>0</v>
      </c>
      <c r="O74" s="18" t="n">
        <v>0</v>
      </c>
      <c r="P74" s="20" t="n">
        <v>0</v>
      </c>
      <c r="Q74" s="18" t="n">
        <v>14.64653437</v>
      </c>
      <c r="R74" s="20" t="n">
        <v>1.95419447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84.8425508</v>
      </c>
      <c r="F78" s="20" t="n">
        <v>1.93873315</v>
      </c>
      <c r="G78" s="18" t="n">
        <v>13.54605252</v>
      </c>
      <c r="H78" s="20" t="n">
        <v>1.84525565</v>
      </c>
      <c r="I78" s="18" t="s">
        <v>349</v>
      </c>
      <c r="J78" s="20" t="s">
        <v>349</v>
      </c>
      <c r="K78" s="18" t="n">
        <v>0</v>
      </c>
      <c r="L78" s="20" t="n">
        <v>0</v>
      </c>
      <c r="M78" s="18" t="n">
        <v>0</v>
      </c>
      <c r="N78" s="20" t="n">
        <v>0</v>
      </c>
      <c r="O78" s="18" t="n">
        <v>0</v>
      </c>
      <c r="P78" s="20" t="n">
        <v>0</v>
      </c>
      <c r="Q78" s="18" t="n">
        <v>1.61139668</v>
      </c>
      <c r="R78" s="20" t="n">
        <v>0.7557204199999999</v>
      </c>
    </row>
    <row customHeight="1" ht="25" r="79" spans="1:18">
      <c r="A79" s="15" t="s">
        <v>421</v>
      </c>
      <c r="B79" s="17" t="n">
        <v>787</v>
      </c>
      <c r="C79" s="18">
        <f>(644.0/B79*100)</f>
        <v/>
      </c>
      <c r="D79" s="19" t="n">
        <v>143</v>
      </c>
      <c r="E79" s="18" t="n">
        <v>62.82608</v>
      </c>
      <c r="F79" s="20" t="n">
        <v>4.80820777</v>
      </c>
      <c r="G79" s="18" t="n">
        <v>19.7431872</v>
      </c>
      <c r="H79" s="20" t="n">
        <v>4.18942669</v>
      </c>
      <c r="I79" s="18" t="s">
        <v>349</v>
      </c>
      <c r="J79" s="20" t="s">
        <v>349</v>
      </c>
      <c r="K79" s="18" t="n">
        <v>7.01136713</v>
      </c>
      <c r="L79" s="20" t="n">
        <v>2.45811371</v>
      </c>
      <c r="M79" s="18" t="n">
        <v>0</v>
      </c>
      <c r="N79" s="20" t="n">
        <v>0</v>
      </c>
      <c r="O79" s="18" t="n">
        <v>0</v>
      </c>
      <c r="P79" s="20" t="n">
        <v>0</v>
      </c>
      <c r="Q79" s="18" t="n">
        <v>10.41936567</v>
      </c>
      <c r="R79" s="20" t="n">
        <v>3.53995952</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60.01073906</v>
      </c>
      <c r="F45" s="20" t="n">
        <v>2.30104508</v>
      </c>
      <c r="G45" s="18" t="n">
        <v>15.97037015</v>
      </c>
      <c r="H45" s="20" t="n">
        <v>1.83777935</v>
      </c>
      <c r="I45" s="18" t="s">
        <v>349</v>
      </c>
      <c r="J45" s="20" t="s">
        <v>349</v>
      </c>
      <c r="K45" s="18" t="n">
        <v>4.37298012</v>
      </c>
      <c r="L45" s="20" t="n">
        <v>0.9925738200000001</v>
      </c>
      <c r="M45" s="18" t="n">
        <v>0</v>
      </c>
      <c r="N45" s="20" t="n">
        <v>0</v>
      </c>
      <c r="O45" s="18" t="n">
        <v>0</v>
      </c>
      <c r="P45" s="20" t="n">
        <v>0</v>
      </c>
      <c r="Q45" s="18" t="n">
        <v>19.64591067</v>
      </c>
      <c r="R45" s="20" t="n">
        <v>1.89779273</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52.51843276</v>
      </c>
      <c r="F49" s="20" t="n">
        <v>2.54874002</v>
      </c>
      <c r="G49" s="18" t="n">
        <v>19.44486289</v>
      </c>
      <c r="H49" s="20" t="n">
        <v>2.1530081</v>
      </c>
      <c r="I49" s="18" t="s">
        <v>349</v>
      </c>
      <c r="J49" s="20" t="s">
        <v>349</v>
      </c>
      <c r="K49" s="18" t="n">
        <v>4.22764111</v>
      </c>
      <c r="L49" s="20" t="n">
        <v>0.93890406</v>
      </c>
      <c r="M49" s="18" t="n">
        <v>0.2296879</v>
      </c>
      <c r="N49" s="20" t="n">
        <v>0.22974532</v>
      </c>
      <c r="O49" s="18" t="n">
        <v>0</v>
      </c>
      <c r="P49" s="20" t="n">
        <v>0</v>
      </c>
      <c r="Q49" s="18" t="n">
        <v>23.57937534</v>
      </c>
      <c r="R49" s="20" t="n">
        <v>2.16239061</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0</v>
      </c>
      <c r="F58" s="20" t="n">
        <v>0</v>
      </c>
      <c r="G58" s="18" t="n">
        <v>0</v>
      </c>
      <c r="H58" s="20" t="n">
        <v>0</v>
      </c>
      <c r="I58" s="18" t="s">
        <v>349</v>
      </c>
      <c r="J58" s="20" t="s">
        <v>349</v>
      </c>
      <c r="K58" s="18" t="n">
        <v>0</v>
      </c>
      <c r="L58" s="20" t="n">
        <v>0</v>
      </c>
      <c r="M58" s="18" t="n">
        <v>100</v>
      </c>
      <c r="N58" s="20" t="n">
        <v>0</v>
      </c>
      <c r="O58" s="18" t="n">
        <v>0</v>
      </c>
      <c r="P58" s="20" t="n">
        <v>0</v>
      </c>
      <c r="Q58" s="18" t="n">
        <v>0</v>
      </c>
      <c r="R58" s="20" t="n">
        <v>0</v>
      </c>
    </row>
    <row r="59" spans="1:18">
      <c r="A59" s="15" t="s">
        <v>401</v>
      </c>
      <c r="B59" s="17" t="n">
        <v>2548</v>
      </c>
      <c r="C59" s="18">
        <f>(2112.0/B59*100)</f>
        <v/>
      </c>
      <c r="D59" s="19" t="n">
        <v>436</v>
      </c>
      <c r="E59" s="18" t="n">
        <v>67.06661294</v>
      </c>
      <c r="F59" s="20" t="n">
        <v>2.96398565</v>
      </c>
      <c r="G59" s="18" t="n">
        <v>18.8285754</v>
      </c>
      <c r="H59" s="20" t="n">
        <v>2.55948944</v>
      </c>
      <c r="I59" s="18" t="s">
        <v>349</v>
      </c>
      <c r="J59" s="20" t="s">
        <v>349</v>
      </c>
      <c r="K59" s="18" t="n">
        <v>1.83374465</v>
      </c>
      <c r="L59" s="20" t="n">
        <v>0.8607860899999999</v>
      </c>
      <c r="M59" s="18" t="n">
        <v>0</v>
      </c>
      <c r="N59" s="20" t="n">
        <v>0</v>
      </c>
      <c r="O59" s="18" t="n">
        <v>0</v>
      </c>
      <c r="P59" s="20" t="n">
        <v>0</v>
      </c>
      <c r="Q59" s="18" t="n">
        <v>12.27106701</v>
      </c>
      <c r="R59" s="20" t="n">
        <v>1.70908219</v>
      </c>
    </row>
    <row r="60" spans="1:18">
      <c r="A60" s="15" t="s">
        <v>402</v>
      </c>
      <c r="B60" s="17" t="n">
        <v>2095</v>
      </c>
      <c r="C60" s="18">
        <f>(1741.0/B60*100)</f>
        <v/>
      </c>
      <c r="D60" s="19" t="n">
        <v>354</v>
      </c>
      <c r="E60" s="18" t="n">
        <v>28.46542045</v>
      </c>
      <c r="F60" s="20" t="n">
        <v>2.70980768</v>
      </c>
      <c r="G60" s="18" t="n">
        <v>53.24601055</v>
      </c>
      <c r="H60" s="20" t="n">
        <v>2.92260035</v>
      </c>
      <c r="I60" s="18" t="s">
        <v>349</v>
      </c>
      <c r="J60" s="20" t="s">
        <v>349</v>
      </c>
      <c r="K60" s="18" t="n">
        <v>3.28535457</v>
      </c>
      <c r="L60" s="20" t="n">
        <v>1.0374864</v>
      </c>
      <c r="M60" s="18" t="n">
        <v>0</v>
      </c>
      <c r="N60" s="20" t="n">
        <v>0</v>
      </c>
      <c r="O60" s="18" t="n">
        <v>0</v>
      </c>
      <c r="P60" s="20" t="n">
        <v>0</v>
      </c>
      <c r="Q60" s="18" t="n">
        <v>15.00321443</v>
      </c>
      <c r="R60" s="20" t="n">
        <v>2.08076457</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37.94124557</v>
      </c>
      <c r="F63" s="20" t="n">
        <v>2.19745045</v>
      </c>
      <c r="G63" s="18" t="n">
        <v>26.59828375</v>
      </c>
      <c r="H63" s="20" t="n">
        <v>2.05035343</v>
      </c>
      <c r="I63" s="18" t="s">
        <v>349</v>
      </c>
      <c r="J63" s="20" t="s">
        <v>349</v>
      </c>
      <c r="K63" s="18" t="n">
        <v>2.73539829</v>
      </c>
      <c r="L63" s="20" t="n">
        <v>0.74435026</v>
      </c>
      <c r="M63" s="18" t="n">
        <v>0</v>
      </c>
      <c r="N63" s="20" t="n">
        <v>0</v>
      </c>
      <c r="O63" s="18" t="n">
        <v>0</v>
      </c>
      <c r="P63" s="20" t="n">
        <v>0</v>
      </c>
      <c r="Q63" s="18" t="n">
        <v>32.72507239</v>
      </c>
      <c r="R63" s="20" t="n">
        <v>1.98627086</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37.32687178</v>
      </c>
      <c r="F65" s="20" t="n">
        <v>2.62578682</v>
      </c>
      <c r="G65" s="18" t="n">
        <v>34.70750893</v>
      </c>
      <c r="H65" s="20" t="n">
        <v>2.50856296</v>
      </c>
      <c r="I65" s="18" t="s">
        <v>349</v>
      </c>
      <c r="J65" s="20" t="s">
        <v>349</v>
      </c>
      <c r="K65" s="18" t="n">
        <v>5.48478145</v>
      </c>
      <c r="L65" s="20" t="n">
        <v>1.12761833</v>
      </c>
      <c r="M65" s="18" t="n">
        <v>0</v>
      </c>
      <c r="N65" s="20" t="n">
        <v>0</v>
      </c>
      <c r="O65" s="18" t="n">
        <v>0</v>
      </c>
      <c r="P65" s="20" t="n">
        <v>0</v>
      </c>
      <c r="Q65" s="18" t="n">
        <v>22.48083784</v>
      </c>
      <c r="R65" s="20" t="n">
        <v>2.24315772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50.97727608</v>
      </c>
      <c r="F69" s="20" t="n">
        <v>2.75208014</v>
      </c>
      <c r="G69" s="18" t="n">
        <v>48.7739909</v>
      </c>
      <c r="H69" s="20" t="n">
        <v>2.70802191</v>
      </c>
      <c r="I69" s="18" t="s">
        <v>349</v>
      </c>
      <c r="J69" s="20" t="s">
        <v>349</v>
      </c>
      <c r="K69" s="18" t="n">
        <v>0</v>
      </c>
      <c r="L69" s="20" t="n">
        <v>0</v>
      </c>
      <c r="M69" s="18" t="n">
        <v>0</v>
      </c>
      <c r="N69" s="20" t="n">
        <v>0</v>
      </c>
      <c r="O69" s="18" t="n">
        <v>0</v>
      </c>
      <c r="P69" s="20" t="n">
        <v>0</v>
      </c>
      <c r="Q69" s="18" t="n">
        <v>0.24873303</v>
      </c>
      <c r="R69" s="20" t="n">
        <v>0.24860943</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38.56418723</v>
      </c>
      <c r="F74" s="20" t="n">
        <v>2.79879442</v>
      </c>
      <c r="G74" s="18" t="n">
        <v>29.45924641</v>
      </c>
      <c r="H74" s="20" t="n">
        <v>2.58256884</v>
      </c>
      <c r="I74" s="18" t="s">
        <v>349</v>
      </c>
      <c r="J74" s="20" t="s">
        <v>349</v>
      </c>
      <c r="K74" s="18" t="n">
        <v>5.99649117</v>
      </c>
      <c r="L74" s="20" t="n">
        <v>1.40352854</v>
      </c>
      <c r="M74" s="18" t="n">
        <v>0</v>
      </c>
      <c r="N74" s="20" t="n">
        <v>0</v>
      </c>
      <c r="O74" s="18" t="n">
        <v>0</v>
      </c>
      <c r="P74" s="20" t="n">
        <v>0</v>
      </c>
      <c r="Q74" s="18" t="n">
        <v>25.98007519</v>
      </c>
      <c r="R74" s="20" t="n">
        <v>2.43293387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38.78206182</v>
      </c>
      <c r="F78" s="20" t="n">
        <v>2.97359661</v>
      </c>
      <c r="G78" s="18" t="n">
        <v>57.93315755</v>
      </c>
      <c r="H78" s="20" t="n">
        <v>3.30895644</v>
      </c>
      <c r="I78" s="18" t="s">
        <v>349</v>
      </c>
      <c r="J78" s="20" t="s">
        <v>349</v>
      </c>
      <c r="K78" s="18" t="n">
        <v>0</v>
      </c>
      <c r="L78" s="20" t="n">
        <v>0</v>
      </c>
      <c r="M78" s="18" t="n">
        <v>0</v>
      </c>
      <c r="N78" s="20" t="n">
        <v>0</v>
      </c>
      <c r="O78" s="18" t="n">
        <v>0</v>
      </c>
      <c r="P78" s="20" t="n">
        <v>0</v>
      </c>
      <c r="Q78" s="18" t="n">
        <v>3.28478064</v>
      </c>
      <c r="R78" s="20" t="n">
        <v>1.58864363</v>
      </c>
    </row>
    <row customHeight="1" ht="25" r="79" spans="1:18">
      <c r="A79" s="15" t="s">
        <v>421</v>
      </c>
      <c r="B79" s="17" t="n">
        <v>787</v>
      </c>
      <c r="C79" s="18">
        <f>(644.0/B79*100)</f>
        <v/>
      </c>
      <c r="D79" s="19" t="n">
        <v>143</v>
      </c>
      <c r="E79" s="18" t="n">
        <v>33.05581343</v>
      </c>
      <c r="F79" s="20" t="n">
        <v>3.96752168</v>
      </c>
      <c r="G79" s="18" t="n">
        <v>38.53547695</v>
      </c>
      <c r="H79" s="20" t="n">
        <v>4.29560564</v>
      </c>
      <c r="I79" s="18" t="s">
        <v>349</v>
      </c>
      <c r="J79" s="20" t="s">
        <v>349</v>
      </c>
      <c r="K79" s="18" t="n">
        <v>7.92536384</v>
      </c>
      <c r="L79" s="20" t="n">
        <v>2.48685613</v>
      </c>
      <c r="M79" s="18" t="n">
        <v>0</v>
      </c>
      <c r="N79" s="20" t="n">
        <v>0</v>
      </c>
      <c r="O79" s="18" t="n">
        <v>0</v>
      </c>
      <c r="P79" s="20" t="n">
        <v>0</v>
      </c>
      <c r="Q79" s="18" t="n">
        <v>20.48334579</v>
      </c>
      <c r="R79" s="20" t="n">
        <v>3.81655012</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47.59053805</v>
      </c>
      <c r="F45" s="20" t="n">
        <v>2.40678383</v>
      </c>
      <c r="G45" s="18" t="n">
        <v>17.80155162</v>
      </c>
      <c r="H45" s="20" t="n">
        <v>1.72307824</v>
      </c>
      <c r="I45" s="18" t="s">
        <v>349</v>
      </c>
      <c r="J45" s="20" t="s">
        <v>349</v>
      </c>
      <c r="K45" s="18" t="n">
        <v>5.98164257</v>
      </c>
      <c r="L45" s="20" t="n">
        <v>1.28664637</v>
      </c>
      <c r="M45" s="18" t="n">
        <v>0</v>
      </c>
      <c r="N45" s="20" t="n">
        <v>0</v>
      </c>
      <c r="O45" s="18" t="n">
        <v>0.19584719</v>
      </c>
      <c r="P45" s="20" t="n">
        <v>0.19774228</v>
      </c>
      <c r="Q45" s="18" t="n">
        <v>28.43042056</v>
      </c>
      <c r="R45" s="20" t="n">
        <v>2.34364358</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37.09797703</v>
      </c>
      <c r="F49" s="20" t="n">
        <v>2.19298558</v>
      </c>
      <c r="G49" s="18" t="n">
        <v>19.60530339</v>
      </c>
      <c r="H49" s="20" t="n">
        <v>2.38453004</v>
      </c>
      <c r="I49" s="18" t="s">
        <v>349</v>
      </c>
      <c r="J49" s="20" t="s">
        <v>349</v>
      </c>
      <c r="K49" s="18" t="n">
        <v>4.63798248</v>
      </c>
      <c r="L49" s="20" t="n">
        <v>0.91667969</v>
      </c>
      <c r="M49" s="18" t="n">
        <v>0.2296879</v>
      </c>
      <c r="N49" s="20" t="n">
        <v>0.22974532</v>
      </c>
      <c r="O49" s="18" t="n">
        <v>0.32200033</v>
      </c>
      <c r="P49" s="20" t="n">
        <v>0.33466916</v>
      </c>
      <c r="Q49" s="18" t="n">
        <v>38.10704886</v>
      </c>
      <c r="R49" s="20" t="n">
        <v>2.43975484</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43.95586352</v>
      </c>
      <c r="F58" s="20" t="n">
        <v>2.00279432</v>
      </c>
      <c r="G58" s="18" t="n">
        <v>36.18334798</v>
      </c>
      <c r="H58" s="20" t="n">
        <v>2.14264419</v>
      </c>
      <c r="I58" s="18" t="s">
        <v>349</v>
      </c>
      <c r="J58" s="20" t="s">
        <v>349</v>
      </c>
      <c r="K58" s="18" t="n">
        <v>2.80094367</v>
      </c>
      <c r="L58" s="20" t="n">
        <v>0.5933339</v>
      </c>
      <c r="M58" s="18" t="n">
        <v>0</v>
      </c>
      <c r="N58" s="20" t="n">
        <v>0</v>
      </c>
      <c r="O58" s="18" t="n">
        <v>0</v>
      </c>
      <c r="P58" s="20" t="n">
        <v>0</v>
      </c>
      <c r="Q58" s="18" t="n">
        <v>17.05984484</v>
      </c>
      <c r="R58" s="20" t="n">
        <v>1.34344972</v>
      </c>
    </row>
    <row r="59" spans="1:18">
      <c r="A59" s="15" t="s">
        <v>401</v>
      </c>
      <c r="B59" s="17" t="n">
        <v>2548</v>
      </c>
      <c r="C59" s="18">
        <f>(2112.0/B59*100)</f>
        <v/>
      </c>
      <c r="D59" s="19" t="n">
        <v>436</v>
      </c>
      <c r="E59" s="18" t="n">
        <v>43.63933258</v>
      </c>
      <c r="F59" s="20" t="n">
        <v>2.76514408</v>
      </c>
      <c r="G59" s="18" t="n">
        <v>25.21644006</v>
      </c>
      <c r="H59" s="20" t="n">
        <v>2.38515404</v>
      </c>
      <c r="I59" s="18" t="s">
        <v>349</v>
      </c>
      <c r="J59" s="20" t="s">
        <v>349</v>
      </c>
      <c r="K59" s="18" t="n">
        <v>1.83374465</v>
      </c>
      <c r="L59" s="20" t="n">
        <v>0.8607860899999999</v>
      </c>
      <c r="M59" s="18" t="n">
        <v>0</v>
      </c>
      <c r="N59" s="20" t="n">
        <v>0</v>
      </c>
      <c r="O59" s="18" t="n">
        <v>0</v>
      </c>
      <c r="P59" s="20" t="n">
        <v>0</v>
      </c>
      <c r="Q59" s="18" t="n">
        <v>29.31048271</v>
      </c>
      <c r="R59" s="20" t="n">
        <v>2.5609249</v>
      </c>
    </row>
    <row r="60" spans="1:18">
      <c r="A60" s="15" t="s">
        <v>402</v>
      </c>
      <c r="B60" s="17" t="n">
        <v>2095</v>
      </c>
      <c r="C60" s="18">
        <f>(1741.0/B60*100)</f>
        <v/>
      </c>
      <c r="D60" s="19" t="n">
        <v>354</v>
      </c>
      <c r="E60" s="18" t="n">
        <v>32.64448843</v>
      </c>
      <c r="F60" s="20" t="n">
        <v>2.63932756</v>
      </c>
      <c r="G60" s="18" t="n">
        <v>37.92647649</v>
      </c>
      <c r="H60" s="20" t="n">
        <v>2.58957867</v>
      </c>
      <c r="I60" s="18" t="s">
        <v>349</v>
      </c>
      <c r="J60" s="20" t="s">
        <v>349</v>
      </c>
      <c r="K60" s="18" t="n">
        <v>3.66308946</v>
      </c>
      <c r="L60" s="20" t="n">
        <v>1.21868477</v>
      </c>
      <c r="M60" s="18" t="n">
        <v>0</v>
      </c>
      <c r="N60" s="20" t="n">
        <v>0</v>
      </c>
      <c r="O60" s="18" t="n">
        <v>0</v>
      </c>
      <c r="P60" s="20" t="n">
        <v>0</v>
      </c>
      <c r="Q60" s="18" t="n">
        <v>25.76594562</v>
      </c>
      <c r="R60" s="20" t="n">
        <v>2.58316153</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20.86601052</v>
      </c>
      <c r="F63" s="20" t="n">
        <v>2.19370719</v>
      </c>
      <c r="G63" s="18" t="n">
        <v>24.49669602</v>
      </c>
      <c r="H63" s="20" t="n">
        <v>2.08710109</v>
      </c>
      <c r="I63" s="18" t="s">
        <v>349</v>
      </c>
      <c r="J63" s="20" t="s">
        <v>349</v>
      </c>
      <c r="K63" s="18" t="n">
        <v>2.73539829</v>
      </c>
      <c r="L63" s="20" t="n">
        <v>0.74435026</v>
      </c>
      <c r="M63" s="18" t="n">
        <v>0</v>
      </c>
      <c r="N63" s="20" t="n">
        <v>0</v>
      </c>
      <c r="O63" s="18" t="n">
        <v>0</v>
      </c>
      <c r="P63" s="20" t="n">
        <v>0</v>
      </c>
      <c r="Q63" s="18" t="n">
        <v>51.90189517</v>
      </c>
      <c r="R63" s="20" t="n">
        <v>2.26365716</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23.66959154</v>
      </c>
      <c r="F65" s="20" t="n">
        <v>2.00716032</v>
      </c>
      <c r="G65" s="18" t="n">
        <v>32.35038124</v>
      </c>
      <c r="H65" s="20" t="n">
        <v>2.48294153</v>
      </c>
      <c r="I65" s="18" t="s">
        <v>349</v>
      </c>
      <c r="J65" s="20" t="s">
        <v>349</v>
      </c>
      <c r="K65" s="18" t="n">
        <v>6.40256067</v>
      </c>
      <c r="L65" s="20" t="n">
        <v>1.18778467</v>
      </c>
      <c r="M65" s="18" t="n">
        <v>0</v>
      </c>
      <c r="N65" s="20" t="n">
        <v>0</v>
      </c>
      <c r="O65" s="18" t="n">
        <v>0</v>
      </c>
      <c r="P65" s="20" t="n">
        <v>0</v>
      </c>
      <c r="Q65" s="18" t="n">
        <v>37.57746654</v>
      </c>
      <c r="R65" s="20" t="n">
        <v>2.39569632</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47.95243279</v>
      </c>
      <c r="F69" s="20" t="n">
        <v>2.6131278</v>
      </c>
      <c r="G69" s="18" t="n">
        <v>51.59710935</v>
      </c>
      <c r="H69" s="20" t="n">
        <v>2.62178308</v>
      </c>
      <c r="I69" s="18" t="s">
        <v>349</v>
      </c>
      <c r="J69" s="20" t="s">
        <v>349</v>
      </c>
      <c r="K69" s="18" t="n">
        <v>0</v>
      </c>
      <c r="L69" s="20" t="n">
        <v>0</v>
      </c>
      <c r="M69" s="18" t="n">
        <v>0</v>
      </c>
      <c r="N69" s="20" t="n">
        <v>0</v>
      </c>
      <c r="O69" s="18" t="n">
        <v>0</v>
      </c>
      <c r="P69" s="20" t="n">
        <v>0</v>
      </c>
      <c r="Q69" s="18" t="n">
        <v>0.45045785</v>
      </c>
      <c r="R69" s="20" t="n">
        <v>0.31973675</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26.11297855</v>
      </c>
      <c r="F74" s="20" t="n">
        <v>2.70691763</v>
      </c>
      <c r="G74" s="18" t="n">
        <v>29.69877009</v>
      </c>
      <c r="H74" s="20" t="n">
        <v>2.70235928</v>
      </c>
      <c r="I74" s="18" t="s">
        <v>349</v>
      </c>
      <c r="J74" s="20" t="s">
        <v>349</v>
      </c>
      <c r="K74" s="18" t="n">
        <v>6.20208754</v>
      </c>
      <c r="L74" s="20" t="n">
        <v>1.40672874</v>
      </c>
      <c r="M74" s="18" t="n">
        <v>0</v>
      </c>
      <c r="N74" s="20" t="n">
        <v>0</v>
      </c>
      <c r="O74" s="18" t="n">
        <v>0</v>
      </c>
      <c r="P74" s="20" t="n">
        <v>0</v>
      </c>
      <c r="Q74" s="18" t="n">
        <v>37.98616381</v>
      </c>
      <c r="R74" s="20" t="n">
        <v>3.04771936</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44.96726431</v>
      </c>
      <c r="F78" s="20" t="n">
        <v>2.78972306</v>
      </c>
      <c r="G78" s="18" t="n">
        <v>51.66474637</v>
      </c>
      <c r="H78" s="20" t="n">
        <v>2.66750989</v>
      </c>
      <c r="I78" s="18" t="s">
        <v>349</v>
      </c>
      <c r="J78" s="20" t="s">
        <v>349</v>
      </c>
      <c r="K78" s="18" t="n">
        <v>0</v>
      </c>
      <c r="L78" s="20" t="n">
        <v>0</v>
      </c>
      <c r="M78" s="18" t="n">
        <v>0</v>
      </c>
      <c r="N78" s="20" t="n">
        <v>0</v>
      </c>
      <c r="O78" s="18" t="n">
        <v>0</v>
      </c>
      <c r="P78" s="20" t="n">
        <v>0</v>
      </c>
      <c r="Q78" s="18" t="n">
        <v>3.36798932</v>
      </c>
      <c r="R78" s="20" t="n">
        <v>0.9633022</v>
      </c>
    </row>
    <row customHeight="1" ht="25" r="79" spans="1:18">
      <c r="A79" s="15" t="s">
        <v>421</v>
      </c>
      <c r="B79" s="17" t="n">
        <v>787</v>
      </c>
      <c r="C79" s="18">
        <f>(644.0/B79*100)</f>
        <v/>
      </c>
      <c r="D79" s="19" t="n">
        <v>143</v>
      </c>
      <c r="E79" s="18" t="n">
        <v>19.04151899</v>
      </c>
      <c r="F79" s="20" t="n">
        <v>3.44433455</v>
      </c>
      <c r="G79" s="18" t="n">
        <v>40.76202788</v>
      </c>
      <c r="H79" s="20" t="n">
        <v>5.32568588</v>
      </c>
      <c r="I79" s="18" t="s">
        <v>349</v>
      </c>
      <c r="J79" s="20" t="s">
        <v>349</v>
      </c>
      <c r="K79" s="18" t="n">
        <v>7.92536384</v>
      </c>
      <c r="L79" s="20" t="n">
        <v>2.48685613</v>
      </c>
      <c r="M79" s="18" t="n">
        <v>0</v>
      </c>
      <c r="N79" s="20" t="n">
        <v>0</v>
      </c>
      <c r="O79" s="18" t="n">
        <v>0</v>
      </c>
      <c r="P79" s="20" t="n">
        <v>0</v>
      </c>
      <c r="Q79" s="18" t="n">
        <v>32.27108929</v>
      </c>
      <c r="R79" s="20" t="n">
        <v>5.18741271</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60.03201365</v>
      </c>
      <c r="F45" s="20" t="n">
        <v>2.66594088</v>
      </c>
      <c r="G45" s="18" t="n">
        <v>11.06397661</v>
      </c>
      <c r="H45" s="20" t="n">
        <v>1.51573883</v>
      </c>
      <c r="I45" s="18" t="s">
        <v>349</v>
      </c>
      <c r="J45" s="20" t="s">
        <v>349</v>
      </c>
      <c r="K45" s="18" t="n">
        <v>6.51831148</v>
      </c>
      <c r="L45" s="20" t="n">
        <v>1.36593466</v>
      </c>
      <c r="M45" s="18" t="n">
        <v>0</v>
      </c>
      <c r="N45" s="20" t="n">
        <v>0</v>
      </c>
      <c r="O45" s="18" t="n">
        <v>0</v>
      </c>
      <c r="P45" s="20" t="n">
        <v>0</v>
      </c>
      <c r="Q45" s="18" t="n">
        <v>22.38569826</v>
      </c>
      <c r="R45" s="20" t="n">
        <v>2.27582719</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70.29348195</v>
      </c>
      <c r="F49" s="20" t="n">
        <v>2.39144629</v>
      </c>
      <c r="G49" s="18" t="n">
        <v>4.6339304</v>
      </c>
      <c r="H49" s="20" t="n">
        <v>0.83950586</v>
      </c>
      <c r="I49" s="18" t="s">
        <v>349</v>
      </c>
      <c r="J49" s="20" t="s">
        <v>349</v>
      </c>
      <c r="K49" s="18" t="n">
        <v>4.81101177</v>
      </c>
      <c r="L49" s="20" t="n">
        <v>0.93000242</v>
      </c>
      <c r="M49" s="18" t="n">
        <v>0.31358469</v>
      </c>
      <c r="N49" s="20" t="n">
        <v>0.30095314</v>
      </c>
      <c r="O49" s="18" t="n">
        <v>0</v>
      </c>
      <c r="P49" s="20" t="n">
        <v>0</v>
      </c>
      <c r="Q49" s="18" t="n">
        <v>19.94799119</v>
      </c>
      <c r="R49" s="20" t="n">
        <v>2.16534515</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79.80465556999999</v>
      </c>
      <c r="F58" s="20" t="n">
        <v>1.5674048</v>
      </c>
      <c r="G58" s="18" t="n">
        <v>2.00383451</v>
      </c>
      <c r="H58" s="20" t="n">
        <v>0.56212988</v>
      </c>
      <c r="I58" s="18" t="s">
        <v>349</v>
      </c>
      <c r="J58" s="20" t="s">
        <v>349</v>
      </c>
      <c r="K58" s="18" t="n">
        <v>2.80094367</v>
      </c>
      <c r="L58" s="20" t="n">
        <v>0.5933339</v>
      </c>
      <c r="M58" s="18" t="n">
        <v>0</v>
      </c>
      <c r="N58" s="20" t="n">
        <v>0</v>
      </c>
      <c r="O58" s="18" t="n">
        <v>0</v>
      </c>
      <c r="P58" s="20" t="n">
        <v>0</v>
      </c>
      <c r="Q58" s="18" t="n">
        <v>15.39056625</v>
      </c>
      <c r="R58" s="20" t="n">
        <v>1.37416206</v>
      </c>
    </row>
    <row r="59" spans="1:18">
      <c r="A59" s="15" t="s">
        <v>401</v>
      </c>
      <c r="B59" s="17" t="n">
        <v>2548</v>
      </c>
      <c r="C59" s="18">
        <f>(2112.0/B59*100)</f>
        <v/>
      </c>
      <c r="D59" s="19" t="n">
        <v>436</v>
      </c>
      <c r="E59" s="18" t="n">
        <v>74.45807763000001</v>
      </c>
      <c r="F59" s="20" t="n">
        <v>2.67833831</v>
      </c>
      <c r="G59" s="18" t="n">
        <v>3.30139152</v>
      </c>
      <c r="H59" s="20" t="n">
        <v>1.14693793</v>
      </c>
      <c r="I59" s="18" t="s">
        <v>349</v>
      </c>
      <c r="J59" s="20" t="s">
        <v>349</v>
      </c>
      <c r="K59" s="18" t="n">
        <v>1.91883848</v>
      </c>
      <c r="L59" s="20" t="n">
        <v>0.86432135</v>
      </c>
      <c r="M59" s="18" t="n">
        <v>0</v>
      </c>
      <c r="N59" s="20" t="n">
        <v>0</v>
      </c>
      <c r="O59" s="18" t="n">
        <v>0</v>
      </c>
      <c r="P59" s="20" t="n">
        <v>0</v>
      </c>
      <c r="Q59" s="18" t="n">
        <v>20.32169237</v>
      </c>
      <c r="R59" s="20" t="n">
        <v>2.23989663</v>
      </c>
    </row>
    <row r="60" spans="1:18">
      <c r="A60" s="15" t="s">
        <v>402</v>
      </c>
      <c r="B60" s="17" t="n">
        <v>2095</v>
      </c>
      <c r="C60" s="18">
        <f>(1741.0/B60*100)</f>
        <v/>
      </c>
      <c r="D60" s="19" t="n">
        <v>354</v>
      </c>
      <c r="E60" s="18" t="n">
        <v>63.63885982</v>
      </c>
      <c r="F60" s="20" t="n">
        <v>2.94288244</v>
      </c>
      <c r="G60" s="18" t="n">
        <v>7.83486097</v>
      </c>
      <c r="H60" s="20" t="n">
        <v>1.37376194</v>
      </c>
      <c r="I60" s="18" t="s">
        <v>349</v>
      </c>
      <c r="J60" s="20" t="s">
        <v>349</v>
      </c>
      <c r="K60" s="18" t="n">
        <v>4.38685749</v>
      </c>
      <c r="L60" s="20" t="n">
        <v>1.29242821</v>
      </c>
      <c r="M60" s="18" t="n">
        <v>0</v>
      </c>
      <c r="N60" s="20" t="n">
        <v>0</v>
      </c>
      <c r="O60" s="18" t="n">
        <v>0.56169795</v>
      </c>
      <c r="P60" s="20" t="n">
        <v>0.55349381</v>
      </c>
      <c r="Q60" s="18" t="n">
        <v>23.57772377</v>
      </c>
      <c r="R60" s="20" t="n">
        <v>2.48098172</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49.28428128</v>
      </c>
      <c r="F63" s="20" t="n">
        <v>2.78247315</v>
      </c>
      <c r="G63" s="18" t="n">
        <v>5.15431101</v>
      </c>
      <c r="H63" s="20" t="n">
        <v>1.14243432</v>
      </c>
      <c r="I63" s="18" t="s">
        <v>349</v>
      </c>
      <c r="J63" s="20" t="s">
        <v>349</v>
      </c>
      <c r="K63" s="18" t="n">
        <v>2.73539829</v>
      </c>
      <c r="L63" s="20" t="n">
        <v>0.74435026</v>
      </c>
      <c r="M63" s="18" t="n">
        <v>0</v>
      </c>
      <c r="N63" s="20" t="n">
        <v>0</v>
      </c>
      <c r="O63" s="18" t="n">
        <v>0</v>
      </c>
      <c r="P63" s="20" t="n">
        <v>0</v>
      </c>
      <c r="Q63" s="18" t="n">
        <v>42.82600942</v>
      </c>
      <c r="R63" s="20" t="n">
        <v>2.71127312</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54.72912612</v>
      </c>
      <c r="F65" s="20" t="n">
        <v>3.01335991</v>
      </c>
      <c r="G65" s="18" t="n">
        <v>6.29755528</v>
      </c>
      <c r="H65" s="20" t="n">
        <v>1.29521825</v>
      </c>
      <c r="I65" s="18" t="s">
        <v>349</v>
      </c>
      <c r="J65" s="20" t="s">
        <v>349</v>
      </c>
      <c r="K65" s="18" t="n">
        <v>7.51217642</v>
      </c>
      <c r="L65" s="20" t="n">
        <v>1.28868492</v>
      </c>
      <c r="M65" s="18" t="n">
        <v>0</v>
      </c>
      <c r="N65" s="20" t="n">
        <v>0</v>
      </c>
      <c r="O65" s="18" t="n">
        <v>0</v>
      </c>
      <c r="P65" s="20" t="n">
        <v>0</v>
      </c>
      <c r="Q65" s="18" t="n">
        <v>31.46114217</v>
      </c>
      <c r="R65" s="20" t="n">
        <v>2.62142546</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70.94380812999999</v>
      </c>
      <c r="F69" s="20" t="n">
        <v>2.36401104</v>
      </c>
      <c r="G69" s="18" t="n">
        <v>28.62464665</v>
      </c>
      <c r="H69" s="20" t="n">
        <v>2.32085917</v>
      </c>
      <c r="I69" s="18" t="s">
        <v>349</v>
      </c>
      <c r="J69" s="20" t="s">
        <v>349</v>
      </c>
      <c r="K69" s="18" t="n">
        <v>0</v>
      </c>
      <c r="L69" s="20" t="n">
        <v>0</v>
      </c>
      <c r="M69" s="18" t="n">
        <v>0</v>
      </c>
      <c r="N69" s="20" t="n">
        <v>0</v>
      </c>
      <c r="O69" s="18" t="n">
        <v>0</v>
      </c>
      <c r="P69" s="20" t="n">
        <v>0</v>
      </c>
      <c r="Q69" s="18" t="n">
        <v>0.43154522</v>
      </c>
      <c r="R69" s="20" t="n">
        <v>0.30495573</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62.5642529</v>
      </c>
      <c r="F74" s="20" t="n">
        <v>2.60444654</v>
      </c>
      <c r="G74" s="18" t="n">
        <v>3.58369152</v>
      </c>
      <c r="H74" s="20" t="n">
        <v>0.89261569</v>
      </c>
      <c r="I74" s="18" t="s">
        <v>349</v>
      </c>
      <c r="J74" s="20" t="s">
        <v>349</v>
      </c>
      <c r="K74" s="18" t="n">
        <v>6.54543739</v>
      </c>
      <c r="L74" s="20" t="n">
        <v>1.37802461</v>
      </c>
      <c r="M74" s="18" t="n">
        <v>0</v>
      </c>
      <c r="N74" s="20" t="n">
        <v>0</v>
      </c>
      <c r="O74" s="18" t="n">
        <v>0</v>
      </c>
      <c r="P74" s="20" t="n">
        <v>0</v>
      </c>
      <c r="Q74" s="18" t="n">
        <v>27.30661819</v>
      </c>
      <c r="R74" s="20" t="n">
        <v>2.49256237</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79.431871</v>
      </c>
      <c r="F78" s="20" t="n">
        <v>2.38428958</v>
      </c>
      <c r="G78" s="18" t="n">
        <v>15.90988655</v>
      </c>
      <c r="H78" s="20" t="n">
        <v>1.88045189</v>
      </c>
      <c r="I78" s="18" t="s">
        <v>349</v>
      </c>
      <c r="J78" s="20" t="s">
        <v>349</v>
      </c>
      <c r="K78" s="18" t="n">
        <v>0</v>
      </c>
      <c r="L78" s="20" t="n">
        <v>0</v>
      </c>
      <c r="M78" s="18" t="n">
        <v>0</v>
      </c>
      <c r="N78" s="20" t="n">
        <v>0</v>
      </c>
      <c r="O78" s="18" t="n">
        <v>0</v>
      </c>
      <c r="P78" s="20" t="n">
        <v>0</v>
      </c>
      <c r="Q78" s="18" t="n">
        <v>4.65824244</v>
      </c>
      <c r="R78" s="20" t="n">
        <v>1.65774874</v>
      </c>
    </row>
    <row customHeight="1" ht="25" r="79" spans="1:18">
      <c r="A79" s="15" t="s">
        <v>421</v>
      </c>
      <c r="B79" s="17" t="n">
        <v>787</v>
      </c>
      <c r="C79" s="18">
        <f>(644.0/B79*100)</f>
        <v/>
      </c>
      <c r="D79" s="19" t="n">
        <v>143</v>
      </c>
      <c r="E79" s="18" t="n">
        <v>55.47050271</v>
      </c>
      <c r="F79" s="20" t="n">
        <v>4.28791773</v>
      </c>
      <c r="G79" s="18" t="n">
        <v>20.72810008</v>
      </c>
      <c r="H79" s="20" t="n">
        <v>4.07831043</v>
      </c>
      <c r="I79" s="18" t="s">
        <v>349</v>
      </c>
      <c r="J79" s="20" t="s">
        <v>349</v>
      </c>
      <c r="K79" s="18" t="n">
        <v>7.92536384</v>
      </c>
      <c r="L79" s="20" t="n">
        <v>2.48685613</v>
      </c>
      <c r="M79" s="18" t="n">
        <v>0</v>
      </c>
      <c r="N79" s="20" t="n">
        <v>0</v>
      </c>
      <c r="O79" s="18" t="n">
        <v>0</v>
      </c>
      <c r="P79" s="20" t="n">
        <v>0</v>
      </c>
      <c r="Q79" s="18" t="n">
        <v>15.87603338</v>
      </c>
      <c r="R79" s="20" t="n">
        <v>3.28259303</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40.05727919</v>
      </c>
      <c r="F45" s="20" t="n">
        <v>2.45620865</v>
      </c>
      <c r="G45" s="18" t="n">
        <v>10.61446093</v>
      </c>
      <c r="H45" s="20" t="n">
        <v>1.16198879</v>
      </c>
      <c r="I45" s="18" t="s">
        <v>349</v>
      </c>
      <c r="J45" s="20" t="s">
        <v>349</v>
      </c>
      <c r="K45" s="18" t="n">
        <v>6.80152856</v>
      </c>
      <c r="L45" s="20" t="n">
        <v>1.39497975</v>
      </c>
      <c r="M45" s="18" t="n">
        <v>2.53046193</v>
      </c>
      <c r="N45" s="20" t="n">
        <v>0.7155168</v>
      </c>
      <c r="O45" s="18" t="n">
        <v>0.86679656</v>
      </c>
      <c r="P45" s="20" t="n">
        <v>0.41898535</v>
      </c>
      <c r="Q45" s="18" t="n">
        <v>39.12947282</v>
      </c>
      <c r="R45" s="20" t="n">
        <v>2.39233676</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39.59463363</v>
      </c>
      <c r="F49" s="20" t="n">
        <v>2.73921608</v>
      </c>
      <c r="G49" s="18" t="n">
        <v>36.22244862</v>
      </c>
      <c r="H49" s="20" t="n">
        <v>2.3512851</v>
      </c>
      <c r="I49" s="18" t="s">
        <v>349</v>
      </c>
      <c r="J49" s="20" t="s">
        <v>349</v>
      </c>
      <c r="K49" s="18" t="n">
        <v>4.81101177</v>
      </c>
      <c r="L49" s="20" t="n">
        <v>0.93000242</v>
      </c>
      <c r="M49" s="18" t="n">
        <v>0.31358469</v>
      </c>
      <c r="N49" s="20" t="n">
        <v>0.30095314</v>
      </c>
      <c r="O49" s="18" t="n">
        <v>0</v>
      </c>
      <c r="P49" s="20" t="n">
        <v>0</v>
      </c>
      <c r="Q49" s="18" t="n">
        <v>19.05832129</v>
      </c>
      <c r="R49" s="20" t="n">
        <v>2.06687896</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51.85370998</v>
      </c>
      <c r="F58" s="20" t="n">
        <v>2.12191857</v>
      </c>
      <c r="G58" s="18" t="n">
        <v>27.34206482</v>
      </c>
      <c r="H58" s="20" t="n">
        <v>2.15616917</v>
      </c>
      <c r="I58" s="18" t="s">
        <v>349</v>
      </c>
      <c r="J58" s="20" t="s">
        <v>349</v>
      </c>
      <c r="K58" s="18" t="n">
        <v>3.39042417</v>
      </c>
      <c r="L58" s="20" t="n">
        <v>0.6985474699999999</v>
      </c>
      <c r="M58" s="18" t="n">
        <v>0</v>
      </c>
      <c r="N58" s="20" t="n">
        <v>0</v>
      </c>
      <c r="O58" s="18" t="n">
        <v>0.64480936</v>
      </c>
      <c r="P58" s="20" t="n">
        <v>0.39804711</v>
      </c>
      <c r="Q58" s="18" t="n">
        <v>16.76899167</v>
      </c>
      <c r="R58" s="20" t="n">
        <v>1.63297644</v>
      </c>
    </row>
    <row r="59" spans="1:18">
      <c r="A59" s="15" t="s">
        <v>401</v>
      </c>
      <c r="B59" s="17" t="n">
        <v>2548</v>
      </c>
      <c r="C59" s="18">
        <f>(2112.0/B59*100)</f>
        <v/>
      </c>
      <c r="D59" s="19" t="n">
        <v>436</v>
      </c>
      <c r="E59" s="18" t="n">
        <v>43.70312017</v>
      </c>
      <c r="F59" s="20" t="n">
        <v>2.81406761</v>
      </c>
      <c r="G59" s="18" t="n">
        <v>23.03567067</v>
      </c>
      <c r="H59" s="20" t="n">
        <v>2.47436621</v>
      </c>
      <c r="I59" s="18" t="s">
        <v>349</v>
      </c>
      <c r="J59" s="20" t="s">
        <v>349</v>
      </c>
      <c r="K59" s="18" t="n">
        <v>2.01080066</v>
      </c>
      <c r="L59" s="20" t="n">
        <v>0.86804771</v>
      </c>
      <c r="M59" s="18" t="n">
        <v>0</v>
      </c>
      <c r="N59" s="20" t="n">
        <v>0</v>
      </c>
      <c r="O59" s="18" t="n">
        <v>0.1066305</v>
      </c>
      <c r="P59" s="20" t="n">
        <v>0.10318954</v>
      </c>
      <c r="Q59" s="18" t="n">
        <v>31.143778</v>
      </c>
      <c r="R59" s="20" t="n">
        <v>2.38745788</v>
      </c>
    </row>
    <row r="60" spans="1:18">
      <c r="A60" s="15" t="s">
        <v>402</v>
      </c>
      <c r="B60" s="17" t="n">
        <v>2095</v>
      </c>
      <c r="C60" s="18">
        <f>(1741.0/B60*100)</f>
        <v/>
      </c>
      <c r="D60" s="19" t="n">
        <v>354</v>
      </c>
      <c r="E60" s="18" t="n">
        <v>27.69311267</v>
      </c>
      <c r="F60" s="20" t="n">
        <v>3.02296541</v>
      </c>
      <c r="G60" s="18" t="n">
        <v>41.83076452</v>
      </c>
      <c r="H60" s="20" t="n">
        <v>3.16049427</v>
      </c>
      <c r="I60" s="18" t="s">
        <v>349</v>
      </c>
      <c r="J60" s="20" t="s">
        <v>349</v>
      </c>
      <c r="K60" s="18" t="n">
        <v>5.04175935</v>
      </c>
      <c r="L60" s="20" t="n">
        <v>1.51565276</v>
      </c>
      <c r="M60" s="18" t="n">
        <v>0</v>
      </c>
      <c r="N60" s="20" t="n">
        <v>0</v>
      </c>
      <c r="O60" s="18" t="n">
        <v>0</v>
      </c>
      <c r="P60" s="20" t="n">
        <v>0</v>
      </c>
      <c r="Q60" s="18" t="n">
        <v>25.43436346</v>
      </c>
      <c r="R60" s="20" t="n">
        <v>2.65238021</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36.65508478</v>
      </c>
      <c r="F63" s="20" t="n">
        <v>2.67130489</v>
      </c>
      <c r="G63" s="18" t="n">
        <v>30.93150666</v>
      </c>
      <c r="H63" s="20" t="n">
        <v>2.45987795</v>
      </c>
      <c r="I63" s="18" t="s">
        <v>349</v>
      </c>
      <c r="J63" s="20" t="s">
        <v>349</v>
      </c>
      <c r="K63" s="18" t="n">
        <v>3.67857073</v>
      </c>
      <c r="L63" s="20" t="n">
        <v>0.9419305</v>
      </c>
      <c r="M63" s="18" t="n">
        <v>0</v>
      </c>
      <c r="N63" s="20" t="n">
        <v>0</v>
      </c>
      <c r="O63" s="18" t="n">
        <v>0.21328368</v>
      </c>
      <c r="P63" s="20" t="n">
        <v>0.21053611</v>
      </c>
      <c r="Q63" s="18" t="n">
        <v>28.52155414</v>
      </c>
      <c r="R63" s="20" t="n">
        <v>2.1955358</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33.42355185</v>
      </c>
      <c r="F65" s="20" t="n">
        <v>2.71211168</v>
      </c>
      <c r="G65" s="18" t="n">
        <v>40.0989646</v>
      </c>
      <c r="H65" s="20" t="n">
        <v>2.38839673</v>
      </c>
      <c r="I65" s="18" t="s">
        <v>349</v>
      </c>
      <c r="J65" s="20" t="s">
        <v>349</v>
      </c>
      <c r="K65" s="18" t="n">
        <v>8.198357339999999</v>
      </c>
      <c r="L65" s="20" t="n">
        <v>1.43599388</v>
      </c>
      <c r="M65" s="18" t="n">
        <v>0</v>
      </c>
      <c r="N65" s="20" t="n">
        <v>0</v>
      </c>
      <c r="O65" s="18" t="n">
        <v>0</v>
      </c>
      <c r="P65" s="20" t="n">
        <v>0</v>
      </c>
      <c r="Q65" s="18" t="n">
        <v>18.27912621</v>
      </c>
      <c r="R65" s="20" t="n">
        <v>1.93387454</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55.24980729</v>
      </c>
      <c r="F69" s="20" t="n">
        <v>2.70147737</v>
      </c>
      <c r="G69" s="18" t="n">
        <v>42.90962967</v>
      </c>
      <c r="H69" s="20" t="n">
        <v>2.68557912</v>
      </c>
      <c r="I69" s="18" t="s">
        <v>349</v>
      </c>
      <c r="J69" s="20" t="s">
        <v>349</v>
      </c>
      <c r="K69" s="18" t="n">
        <v>0</v>
      </c>
      <c r="L69" s="20" t="n">
        <v>0</v>
      </c>
      <c r="M69" s="18" t="n">
        <v>0</v>
      </c>
      <c r="N69" s="20" t="n">
        <v>0</v>
      </c>
      <c r="O69" s="18" t="n">
        <v>0</v>
      </c>
      <c r="P69" s="20" t="n">
        <v>0</v>
      </c>
      <c r="Q69" s="18" t="n">
        <v>1.84056304</v>
      </c>
      <c r="R69" s="20" t="n">
        <v>0.64293649</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36.2334822</v>
      </c>
      <c r="F74" s="20" t="n">
        <v>2.73465044</v>
      </c>
      <c r="G74" s="18" t="n">
        <v>37.50760303</v>
      </c>
      <c r="H74" s="20" t="n">
        <v>2.73211474</v>
      </c>
      <c r="I74" s="18" t="s">
        <v>349</v>
      </c>
      <c r="J74" s="20" t="s">
        <v>349</v>
      </c>
      <c r="K74" s="18" t="n">
        <v>7.54120227</v>
      </c>
      <c r="L74" s="20" t="n">
        <v>1.47287066</v>
      </c>
      <c r="M74" s="18" t="n">
        <v>0</v>
      </c>
      <c r="N74" s="20" t="n">
        <v>0</v>
      </c>
      <c r="O74" s="18" t="n">
        <v>0</v>
      </c>
      <c r="P74" s="20" t="n">
        <v>0</v>
      </c>
      <c r="Q74" s="18" t="n">
        <v>18.7177125</v>
      </c>
      <c r="R74" s="20" t="n">
        <v>2.36395605</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18.29523859</v>
      </c>
      <c r="F78" s="20" t="n">
        <v>1.6787681</v>
      </c>
      <c r="G78" s="18" t="n">
        <v>81.52026202</v>
      </c>
      <c r="H78" s="20" t="n">
        <v>1.72540058</v>
      </c>
      <c r="I78" s="18" t="s">
        <v>349</v>
      </c>
      <c r="J78" s="20" t="s">
        <v>349</v>
      </c>
      <c r="K78" s="18" t="n">
        <v>0</v>
      </c>
      <c r="L78" s="20" t="n">
        <v>0</v>
      </c>
      <c r="M78" s="18" t="n">
        <v>0</v>
      </c>
      <c r="N78" s="20" t="n">
        <v>0</v>
      </c>
      <c r="O78" s="18" t="n">
        <v>0</v>
      </c>
      <c r="P78" s="20" t="n">
        <v>0</v>
      </c>
      <c r="Q78" s="18" t="n">
        <v>0.18449939</v>
      </c>
      <c r="R78" s="20" t="n">
        <v>0.18496353</v>
      </c>
    </row>
    <row customHeight="1" ht="25" r="79" spans="1:18">
      <c r="A79" s="15" t="s">
        <v>421</v>
      </c>
      <c r="B79" s="17" t="n">
        <v>787</v>
      </c>
      <c r="C79" s="18">
        <f>(644.0/B79*100)</f>
        <v/>
      </c>
      <c r="D79" s="19" t="n">
        <v>143</v>
      </c>
      <c r="E79" s="18" t="n">
        <v>29.86077641</v>
      </c>
      <c r="F79" s="20" t="n">
        <v>4.48917583</v>
      </c>
      <c r="G79" s="18" t="n">
        <v>52.09685942</v>
      </c>
      <c r="H79" s="20" t="n">
        <v>4.02909307</v>
      </c>
      <c r="I79" s="18" t="s">
        <v>349</v>
      </c>
      <c r="J79" s="20" t="s">
        <v>349</v>
      </c>
      <c r="K79" s="18" t="n">
        <v>7.92536384</v>
      </c>
      <c r="L79" s="20" t="n">
        <v>2.48685613</v>
      </c>
      <c r="M79" s="18" t="n">
        <v>0</v>
      </c>
      <c r="N79" s="20" t="n">
        <v>0</v>
      </c>
      <c r="O79" s="18" t="n">
        <v>0</v>
      </c>
      <c r="P79" s="20" t="n">
        <v>0</v>
      </c>
      <c r="Q79" s="18" t="n">
        <v>10.11700034</v>
      </c>
      <c r="R79" s="20" t="n">
        <v>3.00541641</v>
      </c>
    </row>
    <row r="80" spans="1:18">
      <c r="A80" s="15" t="s">
        <v>422</v>
      </c>
      <c r="B80" s="17" t="n">
        <v>3798</v>
      </c>
      <c r="C80" s="18">
        <f>(3157.0/B80*100)</f>
        <v/>
      </c>
      <c r="D80" s="19" t="n">
        <v>641</v>
      </c>
      <c r="E80" s="18" t="n">
        <v>39.03798742</v>
      </c>
      <c r="F80" s="20" t="n">
        <v>2.54178581</v>
      </c>
      <c r="G80" s="18" t="n">
        <v>60.13964509</v>
      </c>
      <c r="H80" s="20" t="n">
        <v>2.59856579</v>
      </c>
      <c r="I80" s="18" t="s">
        <v>349</v>
      </c>
      <c r="J80" s="20" t="s">
        <v>349</v>
      </c>
      <c r="K80" s="18" t="n">
        <v>0</v>
      </c>
      <c r="L80" s="20" t="n">
        <v>0</v>
      </c>
      <c r="M80" s="18" t="n">
        <v>0</v>
      </c>
      <c r="N80" s="20" t="n">
        <v>0</v>
      </c>
      <c r="O80" s="18" t="n">
        <v>0</v>
      </c>
      <c r="P80" s="20" t="n">
        <v>0</v>
      </c>
      <c r="Q80" s="18" t="n">
        <v>0.8223675</v>
      </c>
      <c r="R80" s="20" t="n">
        <v>0.40159558</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612</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2849</v>
      </c>
      <c r="C45" s="18">
        <f>(2379.0/B45*100)</f>
        <v/>
      </c>
      <c r="D45" s="19" t="n">
        <v>470</v>
      </c>
      <c r="E45" s="18" t="n">
        <v>27.49516387</v>
      </c>
      <c r="F45" s="20" t="n">
        <v>1.86188616</v>
      </c>
      <c r="G45" s="18" t="n">
        <v>24.51761097</v>
      </c>
      <c r="H45" s="20" t="n">
        <v>2.12612536</v>
      </c>
      <c r="I45" s="18" t="n">
        <v>13.2987409</v>
      </c>
      <c r="J45" s="20" t="n">
        <v>1.68725002</v>
      </c>
      <c r="K45" s="18" t="s">
        <v>349</v>
      </c>
      <c r="L45" s="20" t="s">
        <v>349</v>
      </c>
      <c r="M45" s="18" t="n">
        <v>6.80152856</v>
      </c>
      <c r="N45" s="20" t="n">
        <v>1.39497975</v>
      </c>
      <c r="O45" s="18" t="n">
        <v>0.15420669</v>
      </c>
      <c r="P45" s="20" t="n">
        <v>0.15548865</v>
      </c>
      <c r="Q45" s="18" t="n">
        <v>0</v>
      </c>
      <c r="R45" s="20" t="n">
        <v>0</v>
      </c>
      <c r="S45" s="18" t="n">
        <v>27.73274901</v>
      </c>
      <c r="T45" s="20" t="n">
        <v>2.39352932</v>
      </c>
    </row>
    <row r="46" spans="1:20">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3018</v>
      </c>
      <c r="C49" s="18">
        <f>(2510.0/B49*100)</f>
        <v/>
      </c>
      <c r="D49" s="19" t="n">
        <v>508</v>
      </c>
      <c r="E49" s="18" t="n">
        <v>22.51948438</v>
      </c>
      <c r="F49" s="20" t="n">
        <v>2.12954756</v>
      </c>
      <c r="G49" s="18" t="n">
        <v>20.54746599</v>
      </c>
      <c r="H49" s="20" t="n">
        <v>1.99863703</v>
      </c>
      <c r="I49" s="18" t="n">
        <v>24.33382933</v>
      </c>
      <c r="J49" s="20" t="n">
        <v>2.55232126</v>
      </c>
      <c r="K49" s="18" t="s">
        <v>349</v>
      </c>
      <c r="L49" s="20" t="s">
        <v>349</v>
      </c>
      <c r="M49" s="18" t="n">
        <v>5.04037115</v>
      </c>
      <c r="N49" s="20" t="n">
        <v>0.98798799</v>
      </c>
      <c r="O49" s="18" t="n">
        <v>0.2296879</v>
      </c>
      <c r="P49" s="20" t="n">
        <v>0.22974532</v>
      </c>
      <c r="Q49" s="18" t="n">
        <v>0</v>
      </c>
      <c r="R49" s="20" t="n">
        <v>0</v>
      </c>
      <c r="S49" s="18" t="n">
        <v>27.32916125</v>
      </c>
      <c r="T49" s="20" t="n">
        <v>2.34611159</v>
      </c>
    </row>
    <row r="50" spans="1:20">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3530</v>
      </c>
      <c r="C58" s="18">
        <f>(2922.0/B58*100)</f>
        <v/>
      </c>
      <c r="D58" s="19" t="n">
        <v>608</v>
      </c>
      <c r="E58" s="18" t="n">
        <v>39.84922766</v>
      </c>
      <c r="F58" s="20" t="n">
        <v>2.38863108</v>
      </c>
      <c r="G58" s="18" t="n">
        <v>16.2844391</v>
      </c>
      <c r="H58" s="20" t="n">
        <v>1.80402245</v>
      </c>
      <c r="I58" s="18" t="n">
        <v>18.4942369</v>
      </c>
      <c r="J58" s="20" t="n">
        <v>2.05884215</v>
      </c>
      <c r="K58" s="18" t="s">
        <v>349</v>
      </c>
      <c r="L58" s="20" t="s">
        <v>349</v>
      </c>
      <c r="M58" s="18" t="n">
        <v>4.12488231</v>
      </c>
      <c r="N58" s="20" t="n">
        <v>0.81524385</v>
      </c>
      <c r="O58" s="18" t="n">
        <v>0</v>
      </c>
      <c r="P58" s="20" t="n">
        <v>0</v>
      </c>
      <c r="Q58" s="18" t="n">
        <v>0</v>
      </c>
      <c r="R58" s="20" t="n">
        <v>0</v>
      </c>
      <c r="S58" s="18" t="n">
        <v>21.24721403</v>
      </c>
      <c r="T58" s="20" t="n">
        <v>1.75432667</v>
      </c>
    </row>
    <row r="59" spans="1:20">
      <c r="A59" s="15" t="s">
        <v>401</v>
      </c>
      <c r="B59" s="17" t="n">
        <v>2548</v>
      </c>
      <c r="C59" s="18">
        <f>(2112.0/B59*100)</f>
        <v/>
      </c>
      <c r="D59" s="19" t="n">
        <v>436</v>
      </c>
      <c r="E59" s="18" t="n">
        <v>41.98451399</v>
      </c>
      <c r="F59" s="20" t="n">
        <v>2.27913271</v>
      </c>
      <c r="G59" s="18" t="n">
        <v>22.26706686</v>
      </c>
      <c r="H59" s="20" t="n">
        <v>2.48953498</v>
      </c>
      <c r="I59" s="18" t="n">
        <v>12.45939923</v>
      </c>
      <c r="J59" s="20" t="n">
        <v>1.7948798</v>
      </c>
      <c r="K59" s="18" t="s">
        <v>349</v>
      </c>
      <c r="L59" s="20" t="s">
        <v>349</v>
      </c>
      <c r="M59" s="18" t="n">
        <v>2.01080066</v>
      </c>
      <c r="N59" s="20" t="n">
        <v>0.86804771</v>
      </c>
      <c r="O59" s="18" t="n">
        <v>0</v>
      </c>
      <c r="P59" s="20" t="n">
        <v>0</v>
      </c>
      <c r="Q59" s="18" t="n">
        <v>0</v>
      </c>
      <c r="R59" s="20" t="n">
        <v>0</v>
      </c>
      <c r="S59" s="18" t="n">
        <v>21.27821927</v>
      </c>
      <c r="T59" s="20" t="n">
        <v>2.06054824</v>
      </c>
    </row>
    <row r="60" spans="1:20">
      <c r="A60" s="15" t="s">
        <v>402</v>
      </c>
      <c r="B60" s="17" t="n">
        <v>2095</v>
      </c>
      <c r="C60" s="18">
        <f>(1741.0/B60*100)</f>
        <v/>
      </c>
      <c r="D60" s="19" t="n">
        <v>354</v>
      </c>
      <c r="E60" s="18" t="n">
        <v>21.61675215</v>
      </c>
      <c r="F60" s="20" t="n">
        <v>2.4647006</v>
      </c>
      <c r="G60" s="18" t="n">
        <v>15.79495853</v>
      </c>
      <c r="H60" s="20" t="n">
        <v>2.46550655</v>
      </c>
      <c r="I60" s="18" t="n">
        <v>24.10922908</v>
      </c>
      <c r="J60" s="20" t="n">
        <v>2.55186609</v>
      </c>
      <c r="K60" s="18" t="s">
        <v>349</v>
      </c>
      <c r="L60" s="20" t="s">
        <v>349</v>
      </c>
      <c r="M60" s="18" t="n">
        <v>5.24539769</v>
      </c>
      <c r="N60" s="20" t="n">
        <v>1.52364104</v>
      </c>
      <c r="O60" s="18" t="n">
        <v>0</v>
      </c>
      <c r="P60" s="20" t="n">
        <v>0</v>
      </c>
      <c r="Q60" s="18" t="n">
        <v>0</v>
      </c>
      <c r="R60" s="20" t="n">
        <v>0</v>
      </c>
      <c r="S60" s="18" t="n">
        <v>33.23366256</v>
      </c>
      <c r="T60" s="20" t="n">
        <v>2.63500676</v>
      </c>
    </row>
    <row r="61" spans="1:20">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2813</v>
      </c>
      <c r="C63" s="18">
        <f>(2366.0/B63*100)</f>
        <v/>
      </c>
      <c r="D63" s="19" t="n">
        <v>447</v>
      </c>
      <c r="E63" s="18" t="n">
        <v>15.61755914</v>
      </c>
      <c r="F63" s="20" t="n">
        <v>1.8072031</v>
      </c>
      <c r="G63" s="18" t="n">
        <v>12.1159613</v>
      </c>
      <c r="H63" s="20" t="n">
        <v>1.54674487</v>
      </c>
      <c r="I63" s="18" t="n">
        <v>15.44882508</v>
      </c>
      <c r="J63" s="20" t="n">
        <v>1.85945688</v>
      </c>
      <c r="K63" s="18" t="s">
        <v>349</v>
      </c>
      <c r="L63" s="20" t="s">
        <v>349</v>
      </c>
      <c r="M63" s="18" t="n">
        <v>3.85445665</v>
      </c>
      <c r="N63" s="20" t="n">
        <v>0.95712348</v>
      </c>
      <c r="O63" s="18" t="n">
        <v>0</v>
      </c>
      <c r="P63" s="20" t="n">
        <v>0</v>
      </c>
      <c r="Q63" s="18" t="n">
        <v>0</v>
      </c>
      <c r="R63" s="20" t="n">
        <v>0</v>
      </c>
      <c r="S63" s="18" t="n">
        <v>52.96319783</v>
      </c>
      <c r="T63" s="20" t="n">
        <v>2.54708434</v>
      </c>
    </row>
    <row r="64" spans="1:20">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2691</v>
      </c>
      <c r="C65" s="18">
        <f>(2235.0/B65*100)</f>
        <v/>
      </c>
      <c r="D65" s="19" t="n">
        <v>456</v>
      </c>
      <c r="E65" s="18" t="n">
        <v>18.32482159</v>
      </c>
      <c r="F65" s="20" t="n">
        <v>1.89376357</v>
      </c>
      <c r="G65" s="18" t="n">
        <v>17.06927046</v>
      </c>
      <c r="H65" s="20" t="n">
        <v>1.82505957</v>
      </c>
      <c r="I65" s="18" t="n">
        <v>19.16358979</v>
      </c>
      <c r="J65" s="20" t="n">
        <v>2.20766939</v>
      </c>
      <c r="K65" s="18" t="s">
        <v>349</v>
      </c>
      <c r="L65" s="20" t="s">
        <v>349</v>
      </c>
      <c r="M65" s="18" t="n">
        <v>8.198357339999999</v>
      </c>
      <c r="N65" s="20" t="n">
        <v>1.43599388</v>
      </c>
      <c r="O65" s="18" t="n">
        <v>0</v>
      </c>
      <c r="P65" s="20" t="n">
        <v>0</v>
      </c>
      <c r="Q65" s="18" t="n">
        <v>0</v>
      </c>
      <c r="R65" s="20" t="n">
        <v>0</v>
      </c>
      <c r="S65" s="18" t="n">
        <v>37.24396081</v>
      </c>
      <c r="T65" s="20" t="n">
        <v>2.51334937</v>
      </c>
    </row>
    <row r="66" spans="1:20">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2410</v>
      </c>
      <c r="C69" s="18">
        <f>(2004.0/B69*100)</f>
        <v/>
      </c>
      <c r="D69" s="19" t="n">
        <v>406</v>
      </c>
      <c r="E69" s="18" t="n">
        <v>36.47866092</v>
      </c>
      <c r="F69" s="20" t="n">
        <v>2.22785894</v>
      </c>
      <c r="G69" s="18" t="n">
        <v>33.165138</v>
      </c>
      <c r="H69" s="20" t="n">
        <v>2.17312097</v>
      </c>
      <c r="I69" s="18" t="n">
        <v>30.35620107</v>
      </c>
      <c r="J69" s="20" t="n">
        <v>2.60272971</v>
      </c>
      <c r="K69" s="18" t="s">
        <v>349</v>
      </c>
      <c r="L69" s="20" t="s">
        <v>349</v>
      </c>
      <c r="M69" s="18" t="n">
        <v>0</v>
      </c>
      <c r="N69" s="20" t="n">
        <v>0</v>
      </c>
      <c r="O69" s="18" t="n">
        <v>0</v>
      </c>
      <c r="P69" s="20" t="n">
        <v>0</v>
      </c>
      <c r="Q69" s="18" t="n">
        <v>0</v>
      </c>
      <c r="R69" s="20" t="n">
        <v>0</v>
      </c>
      <c r="S69" s="18" t="n">
        <v>0</v>
      </c>
      <c r="T69" s="20" t="n">
        <v>0</v>
      </c>
    </row>
    <row r="70" spans="1:20">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2239</v>
      </c>
      <c r="C74" s="18">
        <f>(1882.0/B74*100)</f>
        <v/>
      </c>
      <c r="D74" s="19" t="n">
        <v>357</v>
      </c>
      <c r="E74" s="18" t="n">
        <v>18.20948415</v>
      </c>
      <c r="F74" s="20" t="n">
        <v>2.31031203</v>
      </c>
      <c r="G74" s="18" t="n">
        <v>14.0574577</v>
      </c>
      <c r="H74" s="20" t="n">
        <v>1.77427129</v>
      </c>
      <c r="I74" s="18" t="n">
        <v>23.29154633</v>
      </c>
      <c r="J74" s="20" t="n">
        <v>2.43465291</v>
      </c>
      <c r="K74" s="18" t="s">
        <v>349</v>
      </c>
      <c r="L74" s="20" t="s">
        <v>349</v>
      </c>
      <c r="M74" s="18" t="n">
        <v>7.54120227</v>
      </c>
      <c r="N74" s="20" t="n">
        <v>1.47287066</v>
      </c>
      <c r="O74" s="18" t="n">
        <v>0</v>
      </c>
      <c r="P74" s="20" t="n">
        <v>0</v>
      </c>
      <c r="Q74" s="18" t="n">
        <v>0</v>
      </c>
      <c r="R74" s="20" t="n">
        <v>0</v>
      </c>
      <c r="S74" s="18" t="n">
        <v>36.90030954</v>
      </c>
      <c r="T74" s="20" t="n">
        <v>2.56026837</v>
      </c>
    </row>
    <row r="75" spans="1:20">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2786</v>
      </c>
      <c r="C78" s="18">
        <f>(2325.0/B78*100)</f>
        <v/>
      </c>
      <c r="D78" s="19" t="n">
        <v>461</v>
      </c>
      <c r="E78" s="18" t="n">
        <v>25.02157299</v>
      </c>
      <c r="F78" s="20" t="n">
        <v>2.74787335</v>
      </c>
      <c r="G78" s="18" t="n">
        <v>31.50296597</v>
      </c>
      <c r="H78" s="20" t="n">
        <v>2.27970632</v>
      </c>
      <c r="I78" s="18" t="n">
        <v>41.32516598</v>
      </c>
      <c r="J78" s="20" t="n">
        <v>2.56434287</v>
      </c>
      <c r="K78" s="18" t="s">
        <v>349</v>
      </c>
      <c r="L78" s="20" t="s">
        <v>349</v>
      </c>
      <c r="M78" s="18" t="n">
        <v>0</v>
      </c>
      <c r="N78" s="20" t="n">
        <v>0</v>
      </c>
      <c r="O78" s="18" t="n">
        <v>0</v>
      </c>
      <c r="P78" s="20" t="n">
        <v>0</v>
      </c>
      <c r="Q78" s="18" t="n">
        <v>0</v>
      </c>
      <c r="R78" s="20" t="n">
        <v>0</v>
      </c>
      <c r="S78" s="18" t="n">
        <v>2.15029506</v>
      </c>
      <c r="T78" s="20" t="n">
        <v>0.79870651</v>
      </c>
    </row>
    <row customHeight="1" ht="25" r="79" spans="1:20">
      <c r="A79" s="15" t="s">
        <v>421</v>
      </c>
      <c r="B79" s="17" t="n">
        <v>787</v>
      </c>
      <c r="C79" s="18">
        <f>(644.0/B79*100)</f>
        <v/>
      </c>
      <c r="D79" s="19" t="n">
        <v>143</v>
      </c>
      <c r="E79" s="18" t="n">
        <v>16.78082936</v>
      </c>
      <c r="F79" s="20" t="n">
        <v>3.70798667</v>
      </c>
      <c r="G79" s="18" t="n">
        <v>26.10165216</v>
      </c>
      <c r="H79" s="20" t="n">
        <v>2.82050556</v>
      </c>
      <c r="I79" s="18" t="n">
        <v>34.46160387</v>
      </c>
      <c r="J79" s="20" t="n">
        <v>4.73952793</v>
      </c>
      <c r="K79" s="18" t="s">
        <v>349</v>
      </c>
      <c r="L79" s="20" t="s">
        <v>349</v>
      </c>
      <c r="M79" s="18" t="n">
        <v>7.92536384</v>
      </c>
      <c r="N79" s="20" t="n">
        <v>2.48685613</v>
      </c>
      <c r="O79" s="18" t="n">
        <v>0</v>
      </c>
      <c r="P79" s="20" t="n">
        <v>0</v>
      </c>
      <c r="Q79" s="18" t="n">
        <v>0</v>
      </c>
      <c r="R79" s="20" t="n">
        <v>0</v>
      </c>
      <c r="S79" s="18" t="n">
        <v>14.73055078</v>
      </c>
      <c r="T79" s="20" t="n">
        <v>3.43213813</v>
      </c>
    </row>
    <row r="80" spans="1:20">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45.24549625</v>
      </c>
      <c r="F45" s="20" t="n">
        <v>2.44819821</v>
      </c>
      <c r="G45" s="18" t="n">
        <v>38.69471241</v>
      </c>
      <c r="H45" s="20" t="n">
        <v>2.95493967</v>
      </c>
      <c r="I45" s="18" t="s">
        <v>349</v>
      </c>
      <c r="J45" s="20" t="s">
        <v>349</v>
      </c>
      <c r="K45" s="18" t="n">
        <v>7.53999286</v>
      </c>
      <c r="L45" s="20" t="n">
        <v>1.42272219</v>
      </c>
      <c r="M45" s="18" t="n">
        <v>1.74898225</v>
      </c>
      <c r="N45" s="20" t="n">
        <v>0.65825522</v>
      </c>
      <c r="O45" s="18" t="n">
        <v>2.12804402</v>
      </c>
      <c r="P45" s="20" t="n">
        <v>0.64675558</v>
      </c>
      <c r="Q45" s="18" t="n">
        <v>4.6427722</v>
      </c>
      <c r="R45" s="20" t="n">
        <v>1.0543065</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45.73357448</v>
      </c>
      <c r="F49" s="20" t="n">
        <v>2.64559621</v>
      </c>
      <c r="G49" s="18" t="n">
        <v>46.30245684</v>
      </c>
      <c r="H49" s="20" t="n">
        <v>2.5363119</v>
      </c>
      <c r="I49" s="18" t="s">
        <v>349</v>
      </c>
      <c r="J49" s="20" t="s">
        <v>349</v>
      </c>
      <c r="K49" s="18" t="n">
        <v>5.36276667</v>
      </c>
      <c r="L49" s="20" t="n">
        <v>1.05379055</v>
      </c>
      <c r="M49" s="18" t="n">
        <v>0.2296879</v>
      </c>
      <c r="N49" s="20" t="n">
        <v>0.22974532</v>
      </c>
      <c r="O49" s="18" t="n">
        <v>1.00277322</v>
      </c>
      <c r="P49" s="20" t="n">
        <v>0.45588903</v>
      </c>
      <c r="Q49" s="18" t="n">
        <v>1.36874088</v>
      </c>
      <c r="R49" s="20" t="n">
        <v>0.54853048</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49.60711944</v>
      </c>
      <c r="F58" s="20" t="n">
        <v>2.2742035</v>
      </c>
      <c r="G58" s="18" t="n">
        <v>42.32577448</v>
      </c>
      <c r="H58" s="20" t="n">
        <v>2.12504252</v>
      </c>
      <c r="I58" s="18" t="s">
        <v>349</v>
      </c>
      <c r="J58" s="20" t="s">
        <v>349</v>
      </c>
      <c r="K58" s="18" t="n">
        <v>4.45134098</v>
      </c>
      <c r="L58" s="20" t="n">
        <v>0.76519244</v>
      </c>
      <c r="M58" s="18" t="n">
        <v>0</v>
      </c>
      <c r="N58" s="20" t="n">
        <v>0</v>
      </c>
      <c r="O58" s="18" t="n">
        <v>1.06176111</v>
      </c>
      <c r="P58" s="20" t="n">
        <v>0.47295713</v>
      </c>
      <c r="Q58" s="18" t="n">
        <v>2.554004</v>
      </c>
      <c r="R58" s="20" t="n">
        <v>0.67624993</v>
      </c>
    </row>
    <row r="59" spans="1:18">
      <c r="A59" s="15" t="s">
        <v>401</v>
      </c>
      <c r="B59" s="17" t="n">
        <v>2548</v>
      </c>
      <c r="C59" s="18">
        <f>(2112.0/B59*100)</f>
        <v/>
      </c>
      <c r="D59" s="19" t="n">
        <v>436</v>
      </c>
      <c r="E59" s="18" t="n">
        <v>50.07471711</v>
      </c>
      <c r="F59" s="20" t="n">
        <v>2.79208572</v>
      </c>
      <c r="G59" s="18" t="n">
        <v>44.74379046</v>
      </c>
      <c r="H59" s="20" t="n">
        <v>2.6657096</v>
      </c>
      <c r="I59" s="18" t="s">
        <v>349</v>
      </c>
      <c r="J59" s="20" t="s">
        <v>349</v>
      </c>
      <c r="K59" s="18" t="n">
        <v>2.01080066</v>
      </c>
      <c r="L59" s="20" t="n">
        <v>0.86804771</v>
      </c>
      <c r="M59" s="18" t="n">
        <v>0.91511514</v>
      </c>
      <c r="N59" s="20" t="n">
        <v>0.46566536</v>
      </c>
      <c r="O59" s="18" t="n">
        <v>2.0000642</v>
      </c>
      <c r="P59" s="20" t="n">
        <v>0.7039372</v>
      </c>
      <c r="Q59" s="18" t="n">
        <v>0.25551243</v>
      </c>
      <c r="R59" s="20" t="n">
        <v>0.18169042</v>
      </c>
    </row>
    <row r="60" spans="1:18">
      <c r="A60" s="15" t="s">
        <v>402</v>
      </c>
      <c r="B60" s="17" t="n">
        <v>2095</v>
      </c>
      <c r="C60" s="18">
        <f>(1741.0/B60*100)</f>
        <v/>
      </c>
      <c r="D60" s="19" t="n">
        <v>354</v>
      </c>
      <c r="E60" s="18" t="n">
        <v>37.91612489</v>
      </c>
      <c r="F60" s="20" t="n">
        <v>3.2067014</v>
      </c>
      <c r="G60" s="18" t="n">
        <v>47.18713321</v>
      </c>
      <c r="H60" s="20" t="n">
        <v>3.38024357</v>
      </c>
      <c r="I60" s="18" t="s">
        <v>349</v>
      </c>
      <c r="J60" s="20" t="s">
        <v>349</v>
      </c>
      <c r="K60" s="18" t="n">
        <v>5.48940022</v>
      </c>
      <c r="L60" s="20" t="n">
        <v>1.54332985</v>
      </c>
      <c r="M60" s="18" t="n">
        <v>0</v>
      </c>
      <c r="N60" s="20" t="n">
        <v>0</v>
      </c>
      <c r="O60" s="18" t="n">
        <v>5.09984926</v>
      </c>
      <c r="P60" s="20" t="n">
        <v>1.1287654</v>
      </c>
      <c r="Q60" s="18" t="n">
        <v>4.30749241</v>
      </c>
      <c r="R60" s="20" t="n">
        <v>0.89669671</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42.52767582</v>
      </c>
      <c r="F63" s="20" t="n">
        <v>2.69456232</v>
      </c>
      <c r="G63" s="18" t="n">
        <v>49.66416465</v>
      </c>
      <c r="H63" s="20" t="n">
        <v>2.59094622</v>
      </c>
      <c r="I63" s="18" t="s">
        <v>349</v>
      </c>
      <c r="J63" s="20" t="s">
        <v>349</v>
      </c>
      <c r="K63" s="18" t="n">
        <v>3.85445665</v>
      </c>
      <c r="L63" s="20" t="n">
        <v>0.95712348</v>
      </c>
      <c r="M63" s="18" t="n">
        <v>0</v>
      </c>
      <c r="N63" s="20" t="n">
        <v>0</v>
      </c>
      <c r="O63" s="18" t="n">
        <v>0</v>
      </c>
      <c r="P63" s="20" t="n">
        <v>0</v>
      </c>
      <c r="Q63" s="18" t="n">
        <v>3.95370288</v>
      </c>
      <c r="R63" s="20" t="n">
        <v>0.9872121</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41.11418136</v>
      </c>
      <c r="F65" s="20" t="n">
        <v>2.98146828</v>
      </c>
      <c r="G65" s="18" t="n">
        <v>46.92046352</v>
      </c>
      <c r="H65" s="20" t="n">
        <v>2.9772664</v>
      </c>
      <c r="I65" s="18" t="s">
        <v>349</v>
      </c>
      <c r="J65" s="20" t="s">
        <v>349</v>
      </c>
      <c r="K65" s="18" t="n">
        <v>8.79103868</v>
      </c>
      <c r="L65" s="20" t="n">
        <v>1.50719617</v>
      </c>
      <c r="M65" s="18" t="n">
        <v>1.6580181</v>
      </c>
      <c r="N65" s="20" t="n">
        <v>0.6490432900000001</v>
      </c>
      <c r="O65" s="18" t="n">
        <v>0</v>
      </c>
      <c r="P65" s="20" t="n">
        <v>0</v>
      </c>
      <c r="Q65" s="18" t="n">
        <v>1.51629835</v>
      </c>
      <c r="R65" s="20" t="n">
        <v>0.58773491</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64.1934127</v>
      </c>
      <c r="F69" s="20" t="n">
        <v>2.48876855</v>
      </c>
      <c r="G69" s="18" t="n">
        <v>35.60042076</v>
      </c>
      <c r="H69" s="20" t="n">
        <v>2.47301356</v>
      </c>
      <c r="I69" s="18" t="s">
        <v>349</v>
      </c>
      <c r="J69" s="20" t="s">
        <v>349</v>
      </c>
      <c r="K69" s="18" t="n">
        <v>0</v>
      </c>
      <c r="L69" s="20" t="n">
        <v>0</v>
      </c>
      <c r="M69" s="18" t="n">
        <v>0</v>
      </c>
      <c r="N69" s="20" t="n">
        <v>0</v>
      </c>
      <c r="O69" s="18" t="n">
        <v>0</v>
      </c>
      <c r="P69" s="20" t="n">
        <v>0</v>
      </c>
      <c r="Q69" s="18" t="n">
        <v>0.20616654</v>
      </c>
      <c r="R69" s="20" t="n">
        <v>0.2145922</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43.71435271</v>
      </c>
      <c r="F74" s="20" t="n">
        <v>2.70639529</v>
      </c>
      <c r="G74" s="18" t="n">
        <v>46.51642461</v>
      </c>
      <c r="H74" s="20" t="n">
        <v>2.94939086</v>
      </c>
      <c r="I74" s="18" t="s">
        <v>349</v>
      </c>
      <c r="J74" s="20" t="s">
        <v>349</v>
      </c>
      <c r="K74" s="18" t="n">
        <v>7.78910547</v>
      </c>
      <c r="L74" s="20" t="n">
        <v>1.48428149</v>
      </c>
      <c r="M74" s="18" t="n">
        <v>0</v>
      </c>
      <c r="N74" s="20" t="n">
        <v>0</v>
      </c>
      <c r="O74" s="18" t="n">
        <v>0</v>
      </c>
      <c r="P74" s="20" t="n">
        <v>0</v>
      </c>
      <c r="Q74" s="18" t="n">
        <v>1.98011721</v>
      </c>
      <c r="R74" s="20" t="n">
        <v>0.70647764</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16.08209704</v>
      </c>
      <c r="F78" s="20" t="n">
        <v>1.85846068</v>
      </c>
      <c r="G78" s="18" t="n">
        <v>83.91790296000001</v>
      </c>
      <c r="H78" s="20" t="n">
        <v>1.85846068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(644.0/B79*100)</f>
        <v/>
      </c>
      <c r="D79" s="19" t="n">
        <v>143</v>
      </c>
      <c r="E79" s="18" t="n">
        <v>28.65001655</v>
      </c>
      <c r="F79" s="20" t="n">
        <v>3.07464729</v>
      </c>
      <c r="G79" s="18" t="n">
        <v>61.13985428</v>
      </c>
      <c r="H79" s="20" t="n">
        <v>3.50818856</v>
      </c>
      <c r="I79" s="18" t="s">
        <v>349</v>
      </c>
      <c r="J79" s="20" t="s">
        <v>349</v>
      </c>
      <c r="K79" s="18" t="n">
        <v>7.92536384</v>
      </c>
      <c r="L79" s="20" t="n">
        <v>2.48685613</v>
      </c>
      <c r="M79" s="18" t="n">
        <v>0</v>
      </c>
      <c r="N79" s="20" t="n">
        <v>0</v>
      </c>
      <c r="O79" s="18" t="n">
        <v>0</v>
      </c>
      <c r="P79" s="20" t="n">
        <v>0</v>
      </c>
      <c r="Q79" s="18" t="n">
        <v>2.28476533</v>
      </c>
      <c r="R79" s="20" t="n">
        <v>1.45149762</v>
      </c>
    </row>
    <row r="80" spans="1:18">
      <c r="A80" s="15" t="s">
        <v>422</v>
      </c>
      <c r="B80" s="17" t="n">
        <v>3798</v>
      </c>
      <c r="C80" s="18">
        <f>(3157.0/B80*100)</f>
        <v/>
      </c>
      <c r="D80" s="19" t="n">
        <v>641</v>
      </c>
      <c r="E80" s="18" t="n">
        <v>54.00084498</v>
      </c>
      <c r="F80" s="20" t="n">
        <v>2.44654176</v>
      </c>
      <c r="G80" s="18" t="n">
        <v>45.76423622</v>
      </c>
      <c r="H80" s="20" t="n">
        <v>2.45449695</v>
      </c>
      <c r="I80" s="18" t="s">
        <v>349</v>
      </c>
      <c r="J80" s="20" t="s">
        <v>349</v>
      </c>
      <c r="K80" s="18" t="n">
        <v>0</v>
      </c>
      <c r="L80" s="20" t="n">
        <v>0</v>
      </c>
      <c r="M80" s="18" t="n">
        <v>0</v>
      </c>
      <c r="N80" s="20" t="n">
        <v>0</v>
      </c>
      <c r="O80" s="18" t="n">
        <v>0</v>
      </c>
      <c r="P80" s="20" t="n">
        <v>0</v>
      </c>
      <c r="Q80" s="18" t="n">
        <v>0.2349188</v>
      </c>
      <c r="R80" s="20" t="n">
        <v>0.15904378</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60.09266094</v>
      </c>
      <c r="F45" s="20" t="n">
        <v>2.4080477</v>
      </c>
      <c r="G45" s="18" t="n">
        <v>27.20466198</v>
      </c>
      <c r="H45" s="20" t="n">
        <v>2.16540565</v>
      </c>
      <c r="I45" s="18" t="s">
        <v>349</v>
      </c>
      <c r="J45" s="20" t="s">
        <v>349</v>
      </c>
      <c r="K45" s="18" t="n">
        <v>7.53999286</v>
      </c>
      <c r="L45" s="20" t="n">
        <v>1.42272219</v>
      </c>
      <c r="M45" s="18" t="n">
        <v>0.5276295600000001</v>
      </c>
      <c r="N45" s="20" t="n">
        <v>0.40183279</v>
      </c>
      <c r="O45" s="18" t="n">
        <v>0.70054175</v>
      </c>
      <c r="P45" s="20" t="n">
        <v>0.36368377</v>
      </c>
      <c r="Q45" s="18" t="n">
        <v>3.93451291</v>
      </c>
      <c r="R45" s="20" t="n">
        <v>0.91246702</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54.20980067</v>
      </c>
      <c r="F49" s="20" t="n">
        <v>2.68565686</v>
      </c>
      <c r="G49" s="18" t="n">
        <v>38.76326516</v>
      </c>
      <c r="H49" s="20" t="n">
        <v>2.63440667</v>
      </c>
      <c r="I49" s="18" t="s">
        <v>349</v>
      </c>
      <c r="J49" s="20" t="s">
        <v>349</v>
      </c>
      <c r="K49" s="18" t="n">
        <v>5.36276667</v>
      </c>
      <c r="L49" s="20" t="n">
        <v>1.05379055</v>
      </c>
      <c r="M49" s="18" t="n">
        <v>0.2296879</v>
      </c>
      <c r="N49" s="20" t="n">
        <v>0.22974532</v>
      </c>
      <c r="O49" s="18" t="n">
        <v>0.02913448</v>
      </c>
      <c r="P49" s="20" t="n">
        <v>0.02780608</v>
      </c>
      <c r="Q49" s="18" t="n">
        <v>1.40534512</v>
      </c>
      <c r="R49" s="20" t="n">
        <v>0.61329521</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67.11385790999999</v>
      </c>
      <c r="F58" s="20" t="n">
        <v>2.17150299</v>
      </c>
      <c r="G58" s="18" t="n">
        <v>25.3595206</v>
      </c>
      <c r="H58" s="20" t="n">
        <v>1.95798458</v>
      </c>
      <c r="I58" s="18" t="s">
        <v>349</v>
      </c>
      <c r="J58" s="20" t="s">
        <v>349</v>
      </c>
      <c r="K58" s="18" t="n">
        <v>4.45134098</v>
      </c>
      <c r="L58" s="20" t="n">
        <v>0.76519244</v>
      </c>
      <c r="M58" s="18" t="n">
        <v>0</v>
      </c>
      <c r="N58" s="20" t="n">
        <v>0</v>
      </c>
      <c r="O58" s="18" t="n">
        <v>0.77334731</v>
      </c>
      <c r="P58" s="20" t="n">
        <v>0.45141548</v>
      </c>
      <c r="Q58" s="18" t="n">
        <v>2.3019332</v>
      </c>
      <c r="R58" s="20" t="n">
        <v>0.70291097</v>
      </c>
    </row>
    <row r="59" spans="1:18">
      <c r="A59" s="15" t="s">
        <v>401</v>
      </c>
      <c r="B59" s="17" t="n">
        <v>2548</v>
      </c>
      <c r="C59" s="18">
        <f>(2112.0/B59*100)</f>
        <v/>
      </c>
      <c r="D59" s="19" t="n">
        <v>436</v>
      </c>
      <c r="E59" s="18" t="n">
        <v>70.92271296</v>
      </c>
      <c r="F59" s="20" t="n">
        <v>2.73871398</v>
      </c>
      <c r="G59" s="18" t="n">
        <v>26.22927435</v>
      </c>
      <c r="H59" s="20" t="n">
        <v>2.54341551</v>
      </c>
      <c r="I59" s="18" t="s">
        <v>349</v>
      </c>
      <c r="J59" s="20" t="s">
        <v>349</v>
      </c>
      <c r="K59" s="18" t="n">
        <v>2.17776967</v>
      </c>
      <c r="L59" s="20" t="n">
        <v>1.00687035</v>
      </c>
      <c r="M59" s="18" t="n">
        <v>0.31599882</v>
      </c>
      <c r="N59" s="20" t="n">
        <v>0.31321158</v>
      </c>
      <c r="O59" s="18" t="n">
        <v>0</v>
      </c>
      <c r="P59" s="20" t="n">
        <v>0</v>
      </c>
      <c r="Q59" s="18" t="n">
        <v>0.3542442</v>
      </c>
      <c r="R59" s="20" t="n">
        <v>0.20652816</v>
      </c>
    </row>
    <row r="60" spans="1:18">
      <c r="A60" s="15" t="s">
        <v>402</v>
      </c>
      <c r="B60" s="17" t="n">
        <v>2095</v>
      </c>
      <c r="C60" s="18">
        <f>(1741.0/B60*100)</f>
        <v/>
      </c>
      <c r="D60" s="19" t="n">
        <v>354</v>
      </c>
      <c r="E60" s="18" t="n">
        <v>45.59875283</v>
      </c>
      <c r="F60" s="20" t="n">
        <v>2.99228126</v>
      </c>
      <c r="G60" s="18" t="n">
        <v>43.87581039</v>
      </c>
      <c r="H60" s="20" t="n">
        <v>3.04796842</v>
      </c>
      <c r="I60" s="18" t="s">
        <v>349</v>
      </c>
      <c r="J60" s="20" t="s">
        <v>349</v>
      </c>
      <c r="K60" s="18" t="n">
        <v>5.98276349</v>
      </c>
      <c r="L60" s="20" t="n">
        <v>1.60019521</v>
      </c>
      <c r="M60" s="18" t="n">
        <v>0</v>
      </c>
      <c r="N60" s="20" t="n">
        <v>0</v>
      </c>
      <c r="O60" s="18" t="n">
        <v>1.35876605</v>
      </c>
      <c r="P60" s="20" t="n">
        <v>0.72905884</v>
      </c>
      <c r="Q60" s="18" t="n">
        <v>3.18390725</v>
      </c>
      <c r="R60" s="20" t="n">
        <v>0.7875204099999999</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56.18635686</v>
      </c>
      <c r="F63" s="20" t="n">
        <v>2.46791298</v>
      </c>
      <c r="G63" s="18" t="n">
        <v>35.74176139</v>
      </c>
      <c r="H63" s="20" t="n">
        <v>2.18561887</v>
      </c>
      <c r="I63" s="18" t="s">
        <v>349</v>
      </c>
      <c r="J63" s="20" t="s">
        <v>349</v>
      </c>
      <c r="K63" s="18" t="n">
        <v>4.06621688</v>
      </c>
      <c r="L63" s="20" t="n">
        <v>0.97579935</v>
      </c>
      <c r="M63" s="18" t="n">
        <v>0</v>
      </c>
      <c r="N63" s="20" t="n">
        <v>0</v>
      </c>
      <c r="O63" s="18" t="n">
        <v>0</v>
      </c>
      <c r="P63" s="20" t="n">
        <v>0</v>
      </c>
      <c r="Q63" s="18" t="n">
        <v>4.00566488</v>
      </c>
      <c r="R63" s="20" t="n">
        <v>1.03110788</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48.02410566</v>
      </c>
      <c r="F65" s="20" t="n">
        <v>3.27287183</v>
      </c>
      <c r="G65" s="18" t="n">
        <v>40.78193438</v>
      </c>
      <c r="H65" s="20" t="n">
        <v>3.13873996</v>
      </c>
      <c r="I65" s="18" t="s">
        <v>349</v>
      </c>
      <c r="J65" s="20" t="s">
        <v>349</v>
      </c>
      <c r="K65" s="18" t="n">
        <v>9.15864142</v>
      </c>
      <c r="L65" s="20" t="n">
        <v>1.5422599</v>
      </c>
      <c r="M65" s="18" t="n">
        <v>0.64908579</v>
      </c>
      <c r="N65" s="20" t="n">
        <v>0.38016605</v>
      </c>
      <c r="O65" s="18" t="n">
        <v>0.04210669</v>
      </c>
      <c r="P65" s="20" t="n">
        <v>0.04209897</v>
      </c>
      <c r="Q65" s="18" t="n">
        <v>1.34412607</v>
      </c>
      <c r="R65" s="20" t="n">
        <v>0.56276995</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62.67172482</v>
      </c>
      <c r="F69" s="20" t="n">
        <v>2.74238044</v>
      </c>
      <c r="G69" s="18" t="n">
        <v>37.12210864</v>
      </c>
      <c r="H69" s="20" t="n">
        <v>2.74604115</v>
      </c>
      <c r="I69" s="18" t="s">
        <v>349</v>
      </c>
      <c r="J69" s="20" t="s">
        <v>349</v>
      </c>
      <c r="K69" s="18" t="n">
        <v>0</v>
      </c>
      <c r="L69" s="20" t="n">
        <v>0</v>
      </c>
      <c r="M69" s="18" t="n">
        <v>0</v>
      </c>
      <c r="N69" s="20" t="n">
        <v>0</v>
      </c>
      <c r="O69" s="18" t="n">
        <v>0</v>
      </c>
      <c r="P69" s="20" t="n">
        <v>0</v>
      </c>
      <c r="Q69" s="18" t="n">
        <v>0.20616654</v>
      </c>
      <c r="R69" s="20" t="n">
        <v>0.2145922</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50.85970463</v>
      </c>
      <c r="F74" s="20" t="n">
        <v>3.1180417</v>
      </c>
      <c r="G74" s="18" t="n">
        <v>40.02624957</v>
      </c>
      <c r="H74" s="20" t="n">
        <v>2.94784017</v>
      </c>
      <c r="I74" s="18" t="s">
        <v>349</v>
      </c>
      <c r="J74" s="20" t="s">
        <v>349</v>
      </c>
      <c r="K74" s="18" t="n">
        <v>7.78910547</v>
      </c>
      <c r="L74" s="20" t="n">
        <v>1.48428149</v>
      </c>
      <c r="M74" s="18" t="n">
        <v>0</v>
      </c>
      <c r="N74" s="20" t="n">
        <v>0</v>
      </c>
      <c r="O74" s="18" t="n">
        <v>0</v>
      </c>
      <c r="P74" s="20" t="n">
        <v>0</v>
      </c>
      <c r="Q74" s="18" t="n">
        <v>1.32494033</v>
      </c>
      <c r="R74" s="20" t="n">
        <v>0.5493051799999999</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30.7931558</v>
      </c>
      <c r="F78" s="20" t="n">
        <v>2.76722635</v>
      </c>
      <c r="G78" s="18" t="n">
        <v>69.20684420000001</v>
      </c>
      <c r="H78" s="20" t="n">
        <v>2.76722635</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787</v>
      </c>
      <c r="C79" s="18">
        <f>(644.0/B79*100)</f>
        <v/>
      </c>
      <c r="D79" s="19" t="n">
        <v>143</v>
      </c>
      <c r="E79" s="18" t="n">
        <v>35.44424677</v>
      </c>
      <c r="F79" s="20" t="n">
        <v>5.44795826</v>
      </c>
      <c r="G79" s="18" t="n">
        <v>55.44843524</v>
      </c>
      <c r="H79" s="20" t="n">
        <v>5.31452611</v>
      </c>
      <c r="I79" s="18" t="s">
        <v>349</v>
      </c>
      <c r="J79" s="20" t="s">
        <v>349</v>
      </c>
      <c r="K79" s="18" t="n">
        <v>7.92536384</v>
      </c>
      <c r="L79" s="20" t="n">
        <v>2.48685613</v>
      </c>
      <c r="M79" s="18" t="n">
        <v>0</v>
      </c>
      <c r="N79" s="20" t="n">
        <v>0</v>
      </c>
      <c r="O79" s="18" t="n">
        <v>0.31337045</v>
      </c>
      <c r="P79" s="20" t="n">
        <v>0.30057287</v>
      </c>
      <c r="Q79" s="18" t="n">
        <v>0.86858371</v>
      </c>
      <c r="R79" s="20" t="n">
        <v>0.69937477</v>
      </c>
    </row>
    <row r="80" spans="1:18">
      <c r="A80" s="15" t="s">
        <v>422</v>
      </c>
      <c r="B80" s="17" t="n">
        <v>3798</v>
      </c>
      <c r="C80" s="18">
        <f>(3157.0/B80*100)</f>
        <v/>
      </c>
      <c r="D80" s="19" t="n">
        <v>641</v>
      </c>
      <c r="E80" s="18" t="n">
        <v>46.66437515</v>
      </c>
      <c r="F80" s="20" t="n">
        <v>2.68431639</v>
      </c>
      <c r="G80" s="18" t="n">
        <v>53.10070605</v>
      </c>
      <c r="H80" s="20" t="n">
        <v>2.67525452</v>
      </c>
      <c r="I80" s="18" t="s">
        <v>349</v>
      </c>
      <c r="J80" s="20" t="s">
        <v>349</v>
      </c>
      <c r="K80" s="18" t="n">
        <v>0</v>
      </c>
      <c r="L80" s="20" t="n">
        <v>0</v>
      </c>
      <c r="M80" s="18" t="n">
        <v>0</v>
      </c>
      <c r="N80" s="20" t="n">
        <v>0</v>
      </c>
      <c r="O80" s="18" t="n">
        <v>0</v>
      </c>
      <c r="P80" s="20" t="n">
        <v>0</v>
      </c>
      <c r="Q80" s="18" t="n">
        <v>0.2349188</v>
      </c>
      <c r="R80" s="20" t="n">
        <v>0.15904378</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58.41581189</v>
      </c>
      <c r="F45" s="20" t="n">
        <v>2.17072192</v>
      </c>
      <c r="G45" s="18" t="n">
        <v>18.41525223</v>
      </c>
      <c r="H45" s="20" t="n">
        <v>1.70446494</v>
      </c>
      <c r="I45" s="18" t="s">
        <v>349</v>
      </c>
      <c r="J45" s="20" t="s">
        <v>349</v>
      </c>
      <c r="K45" s="18" t="n">
        <v>9.47235388</v>
      </c>
      <c r="L45" s="20" t="n">
        <v>1.47130081</v>
      </c>
      <c r="M45" s="18" t="n">
        <v>0</v>
      </c>
      <c r="N45" s="20" t="n">
        <v>0</v>
      </c>
      <c r="O45" s="18" t="n">
        <v>0.28321708</v>
      </c>
      <c r="P45" s="20" t="n">
        <v>0.2856422</v>
      </c>
      <c r="Q45" s="18" t="n">
        <v>13.41336492</v>
      </c>
      <c r="R45" s="20" t="n">
        <v>1.47666882</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62.68981781</v>
      </c>
      <c r="F49" s="20" t="n">
        <v>2.40297356</v>
      </c>
      <c r="G49" s="18" t="n">
        <v>20.17326683</v>
      </c>
      <c r="H49" s="20" t="n">
        <v>2.02226548</v>
      </c>
      <c r="I49" s="18" t="s">
        <v>349</v>
      </c>
      <c r="J49" s="20" t="s">
        <v>349</v>
      </c>
      <c r="K49" s="18" t="n">
        <v>7.4741881</v>
      </c>
      <c r="L49" s="20" t="n">
        <v>1.19704683</v>
      </c>
      <c r="M49" s="18" t="n">
        <v>0.31358469</v>
      </c>
      <c r="N49" s="20" t="n">
        <v>0.30095314</v>
      </c>
      <c r="O49" s="18" t="n">
        <v>0</v>
      </c>
      <c r="P49" s="20" t="n">
        <v>0</v>
      </c>
      <c r="Q49" s="18" t="n">
        <v>9.34914257</v>
      </c>
      <c r="R49" s="20" t="n">
        <v>1.50242312</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67.81367590000001</v>
      </c>
      <c r="F58" s="20" t="n">
        <v>2.59267595</v>
      </c>
      <c r="G58" s="18" t="n">
        <v>18.54999098</v>
      </c>
      <c r="H58" s="20" t="n">
        <v>2.0898923</v>
      </c>
      <c r="I58" s="18" t="s">
        <v>349</v>
      </c>
      <c r="J58" s="20" t="s">
        <v>349</v>
      </c>
      <c r="K58" s="18" t="n">
        <v>6.12854471</v>
      </c>
      <c r="L58" s="20" t="n">
        <v>1.10614715</v>
      </c>
      <c r="M58" s="18" t="n">
        <v>0</v>
      </c>
      <c r="N58" s="20" t="n">
        <v>0</v>
      </c>
      <c r="O58" s="18" t="n">
        <v>0</v>
      </c>
      <c r="P58" s="20" t="n">
        <v>0</v>
      </c>
      <c r="Q58" s="18" t="n">
        <v>7.50778841</v>
      </c>
      <c r="R58" s="20" t="n">
        <v>1.27304813</v>
      </c>
    </row>
    <row r="59" spans="1:18">
      <c r="A59" s="15" t="s">
        <v>401</v>
      </c>
      <c r="B59" s="17" t="n">
        <v>2548</v>
      </c>
      <c r="C59" s="18">
        <f>(2112.0/B59*100)</f>
        <v/>
      </c>
      <c r="D59" s="19" t="n">
        <v>436</v>
      </c>
      <c r="E59" s="18" t="n">
        <v>69.99957891</v>
      </c>
      <c r="F59" s="20" t="n">
        <v>2.62302107</v>
      </c>
      <c r="G59" s="18" t="n">
        <v>17.01814185</v>
      </c>
      <c r="H59" s="20" t="n">
        <v>2.30756102</v>
      </c>
      <c r="I59" s="18" t="s">
        <v>349</v>
      </c>
      <c r="J59" s="20" t="s">
        <v>349</v>
      </c>
      <c r="K59" s="18" t="n">
        <v>3.62946129</v>
      </c>
      <c r="L59" s="20" t="n">
        <v>1.19192942</v>
      </c>
      <c r="M59" s="18" t="n">
        <v>0</v>
      </c>
      <c r="N59" s="20" t="n">
        <v>0</v>
      </c>
      <c r="O59" s="18" t="n">
        <v>0</v>
      </c>
      <c r="P59" s="20" t="n">
        <v>0</v>
      </c>
      <c r="Q59" s="18" t="n">
        <v>9.35281795</v>
      </c>
      <c r="R59" s="20" t="n">
        <v>1.49606721</v>
      </c>
    </row>
    <row r="60" spans="1:18">
      <c r="A60" s="15" t="s">
        <v>402</v>
      </c>
      <c r="B60" s="17" t="n">
        <v>2095</v>
      </c>
      <c r="C60" s="18">
        <f>(1741.0/B60*100)</f>
        <v/>
      </c>
      <c r="D60" s="19" t="n">
        <v>354</v>
      </c>
      <c r="E60" s="18" t="n">
        <v>37.05617975</v>
      </c>
      <c r="F60" s="20" t="n">
        <v>2.78154229</v>
      </c>
      <c r="G60" s="18" t="n">
        <v>39.59260511</v>
      </c>
      <c r="H60" s="20" t="n">
        <v>2.68370322</v>
      </c>
      <c r="I60" s="18" t="s">
        <v>349</v>
      </c>
      <c r="J60" s="20" t="s">
        <v>349</v>
      </c>
      <c r="K60" s="18" t="n">
        <v>7.13616722</v>
      </c>
      <c r="L60" s="20" t="n">
        <v>1.66803213</v>
      </c>
      <c r="M60" s="18" t="n">
        <v>0.34138945</v>
      </c>
      <c r="N60" s="20" t="n">
        <v>0.33595467</v>
      </c>
      <c r="O60" s="18" t="n">
        <v>0.33799566</v>
      </c>
      <c r="P60" s="20" t="n">
        <v>0.34286634</v>
      </c>
      <c r="Q60" s="18" t="n">
        <v>15.53566282</v>
      </c>
      <c r="R60" s="20" t="n">
        <v>2.09798916</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50.50995405</v>
      </c>
      <c r="F63" s="20" t="n">
        <v>2.58291391</v>
      </c>
      <c r="G63" s="18" t="n">
        <v>17.33778193</v>
      </c>
      <c r="H63" s="20" t="n">
        <v>1.93714433</v>
      </c>
      <c r="I63" s="18" t="s">
        <v>349</v>
      </c>
      <c r="J63" s="20" t="s">
        <v>349</v>
      </c>
      <c r="K63" s="18" t="n">
        <v>7.02409671</v>
      </c>
      <c r="L63" s="20" t="n">
        <v>1.24357531</v>
      </c>
      <c r="M63" s="18" t="n">
        <v>0</v>
      </c>
      <c r="N63" s="20" t="n">
        <v>0</v>
      </c>
      <c r="O63" s="18" t="n">
        <v>0</v>
      </c>
      <c r="P63" s="20" t="n">
        <v>0</v>
      </c>
      <c r="Q63" s="18" t="n">
        <v>25.12816731</v>
      </c>
      <c r="R63" s="20" t="n">
        <v>2.13783774</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38.57715588</v>
      </c>
      <c r="F65" s="20" t="n">
        <v>2.57440355</v>
      </c>
      <c r="G65" s="18" t="n">
        <v>29.78990963</v>
      </c>
      <c r="H65" s="20" t="n">
        <v>2.21733362</v>
      </c>
      <c r="I65" s="18" t="s">
        <v>349</v>
      </c>
      <c r="J65" s="20" t="s">
        <v>349</v>
      </c>
      <c r="K65" s="18" t="n">
        <v>14.79564877</v>
      </c>
      <c r="L65" s="20" t="n">
        <v>1.81331844</v>
      </c>
      <c r="M65" s="18" t="n">
        <v>0</v>
      </c>
      <c r="N65" s="20" t="n">
        <v>0</v>
      </c>
      <c r="O65" s="18" t="n">
        <v>0</v>
      </c>
      <c r="P65" s="20" t="n">
        <v>0</v>
      </c>
      <c r="Q65" s="18" t="n">
        <v>16.83728572</v>
      </c>
      <c r="R65" s="20" t="n">
        <v>1.95500993</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60.28934935</v>
      </c>
      <c r="F69" s="20" t="n">
        <v>2.33106489</v>
      </c>
      <c r="G69" s="18" t="n">
        <v>39.71065065</v>
      </c>
      <c r="H69" s="20" t="n">
        <v>2.33106489</v>
      </c>
      <c r="I69" s="18" t="s">
        <v>349</v>
      </c>
      <c r="J69" s="20" t="s">
        <v>349</v>
      </c>
      <c r="K69" s="18" t="n">
        <v>0</v>
      </c>
      <c r="L69" s="20" t="n">
        <v>0</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34.36682678</v>
      </c>
      <c r="F74" s="20" t="n">
        <v>2.41034988</v>
      </c>
      <c r="G74" s="18" t="n">
        <v>41.99920321</v>
      </c>
      <c r="H74" s="20" t="n">
        <v>2.60099682</v>
      </c>
      <c r="I74" s="18" t="s">
        <v>349</v>
      </c>
      <c r="J74" s="20" t="s">
        <v>349</v>
      </c>
      <c r="K74" s="18" t="n">
        <v>12.86934469</v>
      </c>
      <c r="L74" s="20" t="n">
        <v>1.95318058</v>
      </c>
      <c r="M74" s="18" t="n">
        <v>0</v>
      </c>
      <c r="N74" s="20" t="n">
        <v>0</v>
      </c>
      <c r="O74" s="18" t="n">
        <v>0</v>
      </c>
      <c r="P74" s="20" t="n">
        <v>0</v>
      </c>
      <c r="Q74" s="18" t="n">
        <v>10.76462532</v>
      </c>
      <c r="R74" s="20" t="n">
        <v>1.88340898</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54.70619371</v>
      </c>
      <c r="F78" s="20" t="n">
        <v>2.85603536</v>
      </c>
      <c r="G78" s="18" t="n">
        <v>43.42274348</v>
      </c>
      <c r="H78" s="20" t="n">
        <v>2.79721217</v>
      </c>
      <c r="I78" s="18" t="s">
        <v>349</v>
      </c>
      <c r="J78" s="20" t="s">
        <v>349</v>
      </c>
      <c r="K78" s="18" t="n">
        <v>0</v>
      </c>
      <c r="L78" s="20" t="n">
        <v>0</v>
      </c>
      <c r="M78" s="18" t="n">
        <v>0</v>
      </c>
      <c r="N78" s="20" t="n">
        <v>0</v>
      </c>
      <c r="O78" s="18" t="n">
        <v>0</v>
      </c>
      <c r="P78" s="20" t="n">
        <v>0</v>
      </c>
      <c r="Q78" s="18" t="n">
        <v>1.87106281</v>
      </c>
      <c r="R78" s="20" t="n">
        <v>0.77887089</v>
      </c>
    </row>
    <row customHeight="1" ht="25" r="79" spans="1:18">
      <c r="A79" s="15" t="s">
        <v>421</v>
      </c>
      <c r="B79" s="17" t="n">
        <v>787</v>
      </c>
      <c r="C79" s="18">
        <f>(644.0/B79*100)</f>
        <v/>
      </c>
      <c r="D79" s="19" t="n">
        <v>143</v>
      </c>
      <c r="E79" s="18" t="n">
        <v>45.12217014</v>
      </c>
      <c r="F79" s="20" t="n">
        <v>4.33034307</v>
      </c>
      <c r="G79" s="18" t="n">
        <v>35.4306926</v>
      </c>
      <c r="H79" s="20" t="n">
        <v>4.40793591</v>
      </c>
      <c r="I79" s="18" t="s">
        <v>349</v>
      </c>
      <c r="J79" s="20" t="s">
        <v>349</v>
      </c>
      <c r="K79" s="18" t="n">
        <v>10.52701197</v>
      </c>
      <c r="L79" s="20" t="n">
        <v>2.69214023</v>
      </c>
      <c r="M79" s="18" t="n">
        <v>0</v>
      </c>
      <c r="N79" s="20" t="n">
        <v>0</v>
      </c>
      <c r="O79" s="18" t="n">
        <v>0</v>
      </c>
      <c r="P79" s="20" t="n">
        <v>0</v>
      </c>
      <c r="Q79" s="18" t="n">
        <v>8.92012529</v>
      </c>
      <c r="R79" s="20" t="n">
        <v>2.69490203</v>
      </c>
    </row>
    <row r="80" spans="1:18">
      <c r="A80" s="15" t="s">
        <v>422</v>
      </c>
      <c r="B80" s="17" t="n">
        <v>3798</v>
      </c>
      <c r="C80" s="18">
        <f>(3798.0/B80*100)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7367</v>
      </c>
      <c r="C7" s="18">
        <f>(7367.0/B7*100)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3564</v>
      </c>
      <c r="C8" s="18">
        <f>(3564.0/B8*100)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4899</v>
      </c>
      <c r="C9" s="18">
        <f>(4899.0/B9*100)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10036</v>
      </c>
      <c r="C10" s="18">
        <f>(10036.0/B10*100)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3553</v>
      </c>
      <c r="C11" s="18">
        <f>(3553.0/B11*100)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3472</v>
      </c>
      <c r="C12" s="18">
        <f>(3472.0/B12*100)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3559</v>
      </c>
      <c r="C13" s="18">
        <f>(3559.0/B13*100)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2799</v>
      </c>
      <c r="C14" s="18">
        <f>(2799.0/B14*100)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3019</v>
      </c>
      <c r="C15" s="18">
        <f>(3019.0/B15*100)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2997</v>
      </c>
      <c r="C16" s="18">
        <f>(2997.0/B16*100)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3307</v>
      </c>
      <c r="C17" s="18">
        <f>(3307.0/B17*100)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2826</v>
      </c>
      <c r="C18" s="18">
        <f>(2826.0/B18*100)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2808</v>
      </c>
      <c r="C19" s="18">
        <f>(2808.0/B19*100)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1630</v>
      </c>
      <c r="C20" s="18">
        <f>(1630.0/B20*100)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2908</v>
      </c>
      <c r="C21" s="18">
        <f>(2908.0/B21*100)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2931</v>
      </c>
      <c r="C22" s="18">
        <f>(2931.0/B22*100)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5791</v>
      </c>
      <c r="C23" s="18">
        <f>(5791.0/B23*100)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3338</v>
      </c>
      <c r="C24" s="18">
        <f>(3338.0/B24*100)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2912</v>
      </c>
      <c r="C25" s="18">
        <f>(2912.0/B25*100)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2450</v>
      </c>
      <c r="C26" s="18">
        <f>(2450.0/B26*100)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2616</v>
      </c>
      <c r="C27" s="18">
        <f>(2616.0/B27*100)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3765</v>
      </c>
      <c r="C28" s="18">
        <f>(3765.0/B28*100)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2685</v>
      </c>
      <c r="C29" s="18">
        <f>(2685.0/B29*100)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2263</v>
      </c>
      <c r="C30" s="18">
        <f>(2263.0/B30*100)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2750</v>
      </c>
      <c r="C31" s="18">
        <f>(2750.0/B31*100)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2269</v>
      </c>
      <c r="C32" s="18">
        <f>(2269.0/B32*100)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3674</v>
      </c>
      <c r="C33" s="18">
        <f>(3674.0/B33*100)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3315</v>
      </c>
      <c r="C34" s="18">
        <f>(3315.0/B34*100)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3505</v>
      </c>
      <c r="C35" s="18">
        <f>(3505.0/B35*100)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3332</v>
      </c>
      <c r="C36" s="18">
        <f>(3332.0/B36*100)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2727</v>
      </c>
      <c r="C37" s="18">
        <f>(2727.0/B37*100)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3053</v>
      </c>
      <c r="C38" s="18">
        <f>(3053.0/B38*100)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2957</v>
      </c>
      <c r="C39" s="18">
        <f>(2957.0/B39*100)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7235</v>
      </c>
      <c r="C40" s="18">
        <f>(7235.0/B40*100)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2858</v>
      </c>
      <c r="C41" s="18">
        <f>(2858.0/B41*100)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2524</v>
      </c>
      <c r="C44" s="18">
        <f>(2524.0/B44*100)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2849</v>
      </c>
      <c r="C45" s="18">
        <f>(2379.0/B45*100)</f>
        <v/>
      </c>
      <c r="D45" s="19" t="n">
        <v>470</v>
      </c>
      <c r="E45" s="18" t="n">
        <v>83.02235519</v>
      </c>
      <c r="F45" s="20" t="n">
        <v>1.89281264</v>
      </c>
      <c r="G45" s="18" t="n">
        <v>5.8371123</v>
      </c>
      <c r="H45" s="20" t="n">
        <v>1.30653609</v>
      </c>
      <c r="I45" s="18" t="s">
        <v>349</v>
      </c>
      <c r="J45" s="20" t="s">
        <v>349</v>
      </c>
      <c r="K45" s="18" t="n">
        <v>10.66651966</v>
      </c>
      <c r="L45" s="20" t="n">
        <v>1.41213372</v>
      </c>
      <c r="M45" s="18" t="n">
        <v>0.47401285</v>
      </c>
      <c r="N45" s="20" t="n">
        <v>0.3664084</v>
      </c>
      <c r="O45" s="18" t="n">
        <v>0</v>
      </c>
      <c r="P45" s="20" t="n">
        <v>0</v>
      </c>
      <c r="Q45" s="18" t="n">
        <v>0</v>
      </c>
      <c r="R45" s="20" t="n">
        <v>0</v>
      </c>
    </row>
    <row r="46" spans="1:18">
      <c r="A46" s="15" t="s">
        <v>388</v>
      </c>
      <c r="B46" s="17" t="n">
        <v>11068</v>
      </c>
      <c r="C46" s="18">
        <f>(11068.0/B46*100)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3105</v>
      </c>
      <c r="C47" s="18">
        <f>(3105.0/B47*100)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5159</v>
      </c>
      <c r="C48" s="18">
        <f>(5159.0/B48*100)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3018</v>
      </c>
      <c r="C49" s="18">
        <f>(2510.0/B49*100)</f>
        <v/>
      </c>
      <c r="D49" s="19" t="n">
        <v>508</v>
      </c>
      <c r="E49" s="18" t="n">
        <v>87.48330095999999</v>
      </c>
      <c r="F49" s="20" t="n">
        <v>1.40673831</v>
      </c>
      <c r="G49" s="18" t="n">
        <v>4.60441436</v>
      </c>
      <c r="H49" s="20" t="n">
        <v>0.84039829</v>
      </c>
      <c r="I49" s="18" t="s">
        <v>349</v>
      </c>
      <c r="J49" s="20" t="s">
        <v>349</v>
      </c>
      <c r="K49" s="18" t="n">
        <v>7.59869999</v>
      </c>
      <c r="L49" s="20" t="n">
        <v>1.19987768</v>
      </c>
      <c r="M49" s="18" t="n">
        <v>0.31358469</v>
      </c>
      <c r="N49" s="20" t="n">
        <v>0.30095314</v>
      </c>
      <c r="O49" s="18" t="n">
        <v>0</v>
      </c>
      <c r="P49" s="20" t="n">
        <v>0</v>
      </c>
      <c r="Q49" s="18" t="n">
        <v>0</v>
      </c>
      <c r="R49" s="20" t="n">
        <v>0</v>
      </c>
    </row>
    <row r="50" spans="1:18">
      <c r="A50" s="15" t="s">
        <v>392</v>
      </c>
      <c r="B50" s="17" t="n">
        <v>5637</v>
      </c>
      <c r="C50" s="18">
        <f>(5637.0/B50*100)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3372</v>
      </c>
      <c r="C51" s="18">
        <f>(3372.0/B51*100)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2796</v>
      </c>
      <c r="C52" s="18">
        <f>(2796.0/B52*100)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2811</v>
      </c>
      <c r="C53" s="18">
        <f>(2811.0/B53*100)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2266</v>
      </c>
      <c r="C54" s="18">
        <f>(2266.0/B54*100)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2759</v>
      </c>
      <c r="C55" s="18">
        <f>(2759.0/B55*100)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2684</v>
      </c>
      <c r="C56" s="18">
        <f>(2684.0/B56*100)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3170</v>
      </c>
      <c r="C57" s="18">
        <f>(3170.0/B57*100)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3530</v>
      </c>
      <c r="C58" s="18">
        <f>(2922.0/B58*100)</f>
        <v/>
      </c>
      <c r="D58" s="19" t="n">
        <v>608</v>
      </c>
      <c r="E58" s="18" t="n">
        <v>84.30973691</v>
      </c>
      <c r="F58" s="20" t="n">
        <v>1.52485645</v>
      </c>
      <c r="G58" s="18" t="n">
        <v>8.15213559</v>
      </c>
      <c r="H58" s="20" t="n">
        <v>1.41763066</v>
      </c>
      <c r="I58" s="18" t="s">
        <v>349</v>
      </c>
      <c r="J58" s="20" t="s">
        <v>349</v>
      </c>
      <c r="K58" s="18" t="n">
        <v>7.5381275</v>
      </c>
      <c r="L58" s="20" t="n">
        <v>1.31988517</v>
      </c>
      <c r="M58" s="18" t="n">
        <v>0</v>
      </c>
      <c r="N58" s="20" t="n">
        <v>0</v>
      </c>
      <c r="O58" s="18" t="n">
        <v>0</v>
      </c>
      <c r="P58" s="20" t="n">
        <v>0</v>
      </c>
      <c r="Q58" s="18" t="n">
        <v>0</v>
      </c>
      <c r="R58" s="20" t="n">
        <v>0</v>
      </c>
    </row>
    <row r="59" spans="1:18">
      <c r="A59" s="15" t="s">
        <v>401</v>
      </c>
      <c r="B59" s="17" t="n">
        <v>2548</v>
      </c>
      <c r="C59" s="18">
        <f>(2112.0/B59*100)</f>
        <v/>
      </c>
      <c r="D59" s="19" t="n">
        <v>436</v>
      </c>
      <c r="E59" s="18" t="n">
        <v>90.54319073000001</v>
      </c>
      <c r="F59" s="20" t="n">
        <v>1.7370645</v>
      </c>
      <c r="G59" s="18" t="n">
        <v>4.22496447</v>
      </c>
      <c r="H59" s="20" t="n">
        <v>1.02554577</v>
      </c>
      <c r="I59" s="18" t="s">
        <v>349</v>
      </c>
      <c r="J59" s="20" t="s">
        <v>349</v>
      </c>
      <c r="K59" s="18" t="n">
        <v>5.2318448</v>
      </c>
      <c r="L59" s="20" t="n">
        <v>1.45603521</v>
      </c>
      <c r="M59" s="18" t="n">
        <v>0</v>
      </c>
      <c r="N59" s="20" t="n">
        <v>0</v>
      </c>
      <c r="O59" s="18" t="n">
        <v>0</v>
      </c>
      <c r="P59" s="20" t="n">
        <v>0</v>
      </c>
      <c r="Q59" s="18" t="n">
        <v>0</v>
      </c>
      <c r="R59" s="20" t="n">
        <v>0</v>
      </c>
    </row>
    <row r="60" spans="1:18">
      <c r="A60" s="15" t="s">
        <v>402</v>
      </c>
      <c r="B60" s="17" t="n">
        <v>2095</v>
      </c>
      <c r="C60" s="18">
        <f>(1741.0/B60*100)</f>
        <v/>
      </c>
      <c r="D60" s="19" t="n">
        <v>354</v>
      </c>
      <c r="E60" s="18" t="n">
        <v>82.85082092</v>
      </c>
      <c r="F60" s="20" t="n">
        <v>2.36314118</v>
      </c>
      <c r="G60" s="18" t="n">
        <v>8.203795339999999</v>
      </c>
      <c r="H60" s="20" t="n">
        <v>1.25485684</v>
      </c>
      <c r="I60" s="18" t="s">
        <v>349</v>
      </c>
      <c r="J60" s="20" t="s">
        <v>349</v>
      </c>
      <c r="K60" s="18" t="n">
        <v>8.58856035</v>
      </c>
      <c r="L60" s="20" t="n">
        <v>1.78842983</v>
      </c>
      <c r="M60" s="18" t="n">
        <v>0</v>
      </c>
      <c r="N60" s="20" t="n">
        <v>0</v>
      </c>
      <c r="O60" s="18" t="n">
        <v>0.35682339</v>
      </c>
      <c r="P60" s="20" t="n">
        <v>0.35496748</v>
      </c>
      <c r="Q60" s="18" t="n">
        <v>0</v>
      </c>
      <c r="R60" s="20" t="n">
        <v>0</v>
      </c>
    </row>
    <row r="61" spans="1:18">
      <c r="A61" s="15" t="s">
        <v>403</v>
      </c>
      <c r="B61" s="17" t="n">
        <v>3324</v>
      </c>
      <c r="C61" s="18">
        <f>(3324.0/B61*100)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2246</v>
      </c>
      <c r="C62" s="18">
        <f>(2246.0/B62*100)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2813</v>
      </c>
      <c r="C63" s="18">
        <f>(2366.0/B63*100)</f>
        <v/>
      </c>
      <c r="D63" s="19" t="n">
        <v>447</v>
      </c>
      <c r="E63" s="18" t="n">
        <v>83.87595686</v>
      </c>
      <c r="F63" s="20" t="n">
        <v>1.98478892</v>
      </c>
      <c r="G63" s="18" t="n">
        <v>7.92993308</v>
      </c>
      <c r="H63" s="20" t="n">
        <v>1.65100836</v>
      </c>
      <c r="I63" s="18" t="s">
        <v>349</v>
      </c>
      <c r="J63" s="20" t="s">
        <v>349</v>
      </c>
      <c r="K63" s="18" t="n">
        <v>8.19411006</v>
      </c>
      <c r="L63" s="20" t="n">
        <v>1.37858342</v>
      </c>
      <c r="M63" s="18" t="n">
        <v>0</v>
      </c>
      <c r="N63" s="20" t="n">
        <v>0</v>
      </c>
      <c r="O63" s="18" t="n">
        <v>0</v>
      </c>
      <c r="P63" s="20" t="n">
        <v>0</v>
      </c>
      <c r="Q63" s="18" t="n">
        <v>0</v>
      </c>
      <c r="R63" s="20" t="n">
        <v>0</v>
      </c>
    </row>
    <row r="64" spans="1:18">
      <c r="A64" s="15" t="s">
        <v>406</v>
      </c>
      <c r="B64" s="17" t="n">
        <v>1844</v>
      </c>
      <c r="C64" s="18">
        <f>(1844.0/B64*100)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2691</v>
      </c>
      <c r="C65" s="18">
        <f>(2235.0/B65*100)</f>
        <v/>
      </c>
      <c r="D65" s="19" t="n">
        <v>456</v>
      </c>
      <c r="E65" s="18" t="n">
        <v>80.938046</v>
      </c>
      <c r="F65" s="20" t="n">
        <v>2.00352169</v>
      </c>
      <c r="G65" s="18" t="n">
        <v>2.8408285</v>
      </c>
      <c r="H65" s="20" t="n">
        <v>0.74843797</v>
      </c>
      <c r="I65" s="18" t="s">
        <v>349</v>
      </c>
      <c r="J65" s="20" t="s">
        <v>349</v>
      </c>
      <c r="K65" s="18" t="n">
        <v>16.2211255</v>
      </c>
      <c r="L65" s="20" t="n">
        <v>1.94474618</v>
      </c>
      <c r="M65" s="18" t="n">
        <v>0</v>
      </c>
      <c r="N65" s="20" t="n">
        <v>0</v>
      </c>
      <c r="O65" s="18" t="n">
        <v>0</v>
      </c>
      <c r="P65" s="20" t="n">
        <v>0</v>
      </c>
      <c r="Q65" s="18" t="n">
        <v>0</v>
      </c>
      <c r="R65" s="20" t="n">
        <v>0</v>
      </c>
    </row>
    <row r="66" spans="1:18">
      <c r="A66" s="15" t="s">
        <v>408</v>
      </c>
      <c r="B66" s="17" t="n">
        <v>2894</v>
      </c>
      <c r="C66" s="18">
        <f>(2894.0/B66*100)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3511</v>
      </c>
      <c r="C67" s="18">
        <f>(3511.0/B67*100)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6049</v>
      </c>
      <c r="C68" s="18">
        <f>(6049.0/B68*100)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2410</v>
      </c>
      <c r="C69" s="18">
        <f>(2004.0/B69*100)</f>
        <v/>
      </c>
      <c r="D69" s="19" t="n">
        <v>406</v>
      </c>
      <c r="E69" s="18" t="n">
        <v>90.09687172</v>
      </c>
      <c r="F69" s="20" t="n">
        <v>1.88339434</v>
      </c>
      <c r="G69" s="18" t="n">
        <v>9.44450767</v>
      </c>
      <c r="H69" s="20" t="n">
        <v>1.85297843</v>
      </c>
      <c r="I69" s="18" t="s">
        <v>349</v>
      </c>
      <c r="J69" s="20" t="s">
        <v>349</v>
      </c>
      <c r="K69" s="18" t="n">
        <v>0.45862061</v>
      </c>
      <c r="L69" s="20" t="n">
        <v>0.33288688</v>
      </c>
      <c r="M69" s="18" t="n">
        <v>0</v>
      </c>
      <c r="N69" s="20" t="n">
        <v>0</v>
      </c>
      <c r="O69" s="18" t="n">
        <v>0</v>
      </c>
      <c r="P69" s="20" t="n">
        <v>0</v>
      </c>
      <c r="Q69" s="18" t="n">
        <v>0</v>
      </c>
      <c r="R69" s="20" t="n">
        <v>0</v>
      </c>
    </row>
    <row r="70" spans="1:18">
      <c r="A70" s="15" t="s">
        <v>412</v>
      </c>
      <c r="B70" s="17" t="n">
        <v>2929</v>
      </c>
      <c r="C70" s="18">
        <f>(2929.0/B70*100)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3142</v>
      </c>
      <c r="C71" s="18">
        <f>(3142.0/B71*100)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3889</v>
      </c>
      <c r="C72" s="18">
        <f>(3889.0/B72*100)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3597</v>
      </c>
      <c r="C73" s="18">
        <f>(3597.0/B73*100)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2239</v>
      </c>
      <c r="C74" s="18">
        <f>(1882.0/B74*100)</f>
        <v/>
      </c>
      <c r="D74" s="19" t="n">
        <v>357</v>
      </c>
      <c r="E74" s="18" t="n">
        <v>79.86482098</v>
      </c>
      <c r="F74" s="20" t="n">
        <v>2.21449241</v>
      </c>
      <c r="G74" s="18" t="n">
        <v>6.33102583</v>
      </c>
      <c r="H74" s="20" t="n">
        <v>1.33756645</v>
      </c>
      <c r="I74" s="18" t="s">
        <v>349</v>
      </c>
      <c r="J74" s="20" t="s">
        <v>349</v>
      </c>
      <c r="K74" s="18" t="n">
        <v>13.80415319</v>
      </c>
      <c r="L74" s="20" t="n">
        <v>2.03051184</v>
      </c>
      <c r="M74" s="18" t="n">
        <v>0</v>
      </c>
      <c r="N74" s="20" t="n">
        <v>0</v>
      </c>
      <c r="O74" s="18" t="n">
        <v>0</v>
      </c>
      <c r="P74" s="20" t="n">
        <v>0</v>
      </c>
      <c r="Q74" s="18" t="n">
        <v>0</v>
      </c>
      <c r="R74" s="20" t="n">
        <v>0</v>
      </c>
    </row>
    <row r="75" spans="1:18">
      <c r="A75" s="15" t="s">
        <v>417</v>
      </c>
      <c r="B75" s="17" t="n">
        <v>2406</v>
      </c>
      <c r="C75" s="18">
        <f>(2406.0/B75*100)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7052</v>
      </c>
      <c r="C76" s="18">
        <f>(7052.0/B76*100)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2908</v>
      </c>
      <c r="C77" s="18">
        <f>(2908.0/B77*100)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2786</v>
      </c>
      <c r="C78" s="18">
        <f>(2325.0/B78*100)</f>
        <v/>
      </c>
      <c r="D78" s="19" t="n">
        <v>461</v>
      </c>
      <c r="E78" s="18" t="n">
        <v>0</v>
      </c>
      <c r="F78" s="20" t="n">
        <v>0</v>
      </c>
      <c r="G78" s="18" t="n">
        <v>0</v>
      </c>
      <c r="H78" s="20" t="n">
        <v>0</v>
      </c>
      <c r="I78" s="18" t="s">
        <v>349</v>
      </c>
      <c r="J78" s="20" t="s">
        <v>349</v>
      </c>
      <c r="K78" s="18" t="n">
        <v>0</v>
      </c>
      <c r="L78" s="20" t="n">
        <v>0</v>
      </c>
      <c r="M78" s="18" t="n">
        <v>100</v>
      </c>
      <c r="N78" s="20" t="n">
        <v>0</v>
      </c>
      <c r="O78" s="18" t="n">
        <v>0</v>
      </c>
      <c r="P78" s="20" t="n">
        <v>0</v>
      </c>
      <c r="Q78" s="18" t="n">
        <v>0</v>
      </c>
      <c r="R78" s="20" t="n">
        <v>0</v>
      </c>
    </row>
    <row customHeight="1" ht="25" r="79" spans="1:18">
      <c r="A79" s="15" t="s">
        <v>421</v>
      </c>
      <c r="B79" s="17" t="n">
        <v>787</v>
      </c>
      <c r="C79" s="18">
        <f>(644.0/B79*100)</f>
        <v/>
      </c>
      <c r="D79" s="19" t="n">
        <v>143</v>
      </c>
      <c r="E79" s="18" t="n">
        <v>76.10382641</v>
      </c>
      <c r="F79" s="20" t="n">
        <v>3.07181961</v>
      </c>
      <c r="G79" s="18" t="n">
        <v>12.02991165</v>
      </c>
      <c r="H79" s="20" t="n">
        <v>2.44435743</v>
      </c>
      <c r="I79" s="18" t="s">
        <v>349</v>
      </c>
      <c r="J79" s="20" t="s">
        <v>349</v>
      </c>
      <c r="K79" s="18" t="n">
        <v>11.86626194</v>
      </c>
      <c r="L79" s="20" t="n">
        <v>2.666743</v>
      </c>
      <c r="M79" s="18" t="n">
        <v>0</v>
      </c>
      <c r="N79" s="20" t="n">
        <v>0</v>
      </c>
      <c r="O79" s="18" t="n">
        <v>0</v>
      </c>
      <c r="P79" s="20" t="n">
        <v>0</v>
      </c>
      <c r="Q79" s="18" t="n">
        <v>0</v>
      </c>
      <c r="R79" s="20" t="n">
        <v>0</v>
      </c>
    </row>
    <row r="80" spans="1:18">
      <c r="A80" s="15" t="s">
        <v>422</v>
      </c>
      <c r="B80" s="17" t="n">
        <v>3798</v>
      </c>
      <c r="C80" s="18">
        <f>(3157.0/B80*100)</f>
        <v/>
      </c>
      <c r="D80" s="19" t="n">
        <v>641</v>
      </c>
      <c r="E80" s="18" t="n">
        <v>83.94929002000001</v>
      </c>
      <c r="F80" s="20" t="n">
        <v>2.50541457</v>
      </c>
      <c r="G80" s="18" t="n">
        <v>16.04467954</v>
      </c>
      <c r="H80" s="20" t="n">
        <v>2.50536231</v>
      </c>
      <c r="I80" s="18" t="s">
        <v>349</v>
      </c>
      <c r="J80" s="20" t="s">
        <v>349</v>
      </c>
      <c r="K80" s="18" t="n">
        <v>0.00603044</v>
      </c>
      <c r="L80" s="20" t="n">
        <v>0.00605893</v>
      </c>
      <c r="M80" s="18" t="n">
        <v>0</v>
      </c>
      <c r="N80" s="20" t="n">
        <v>0</v>
      </c>
      <c r="O80" s="18" t="n">
        <v>0</v>
      </c>
      <c r="P80" s="20" t="n">
        <v>0</v>
      </c>
      <c r="Q80" s="18" t="n">
        <v>0</v>
      </c>
      <c r="R80" s="20" t="n">
        <v>0</v>
      </c>
    </row>
    <row r="81" spans="1:18">
      <c r="A81" s="21" t="s">
        <v>423</v>
      </c>
      <c r="B81" s="17" t="n">
        <v>4163</v>
      </c>
      <c r="C81" s="18">
        <f>(4163.0/B81*100)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2016-12-02T09:20:59Z</dcterms:created>
  <dcterms:modified xmlns:dcterms="http://purl.org/dc/terms/" xmlns:xsi="http://www.w3.org/2001/XMLSchema-instance" xsi:type="dcterms:W3CDTF">2016-12-02T09:20:59Z</dcterms:modified>
  <cp:lastModifiedBy/>
  <cp:category/>
  <cp:contentStatus/>
  <cp:version/>
  <cp:revision/>
  <cp:keywords/>
</cp:coreProperties>
</file>